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n2401\cernbox\WINDOWS\Desktop\"/>
    </mc:Choice>
  </mc:AlternateContent>
  <xr:revisionPtr revIDLastSave="0" documentId="13_ncr:1_{8E4B369F-52EE-4E4C-85E5-40324C8544B8}" xr6:coauthVersionLast="47" xr6:coauthVersionMax="47" xr10:uidLastSave="{00000000-0000-0000-0000-000000000000}"/>
  <bookViews>
    <workbookView xWindow="21345" yWindow="645" windowWidth="26505" windowHeight="14700" xr2:uid="{41882901-D68F-43DF-9E38-5BE6508AC5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1" l="1"/>
  <c r="B22" i="1"/>
  <c r="B37" i="1" s="1"/>
  <c r="B33" i="1"/>
  <c r="B17" i="1"/>
  <c r="B12" i="1"/>
  <c r="C34" i="1" s="1"/>
  <c r="B13" i="1" l="1"/>
  <c r="B14" i="1" s="1"/>
  <c r="F34" i="1"/>
  <c r="F38" i="1" s="1"/>
  <c r="B9" i="1" l="1"/>
  <c r="B32" i="1" s="1"/>
  <c r="D7" i="1"/>
  <c r="D10" i="1" l="1"/>
  <c r="B3" i="1"/>
  <c r="G3" i="1" l="1"/>
  <c r="B4" i="1"/>
  <c r="D4" i="1" s="1"/>
  <c r="B21" i="1" s="1"/>
  <c r="B27" i="1" s="1"/>
  <c r="G32" i="1" s="1"/>
  <c r="G38" i="1" s="1"/>
  <c r="C3" i="1"/>
  <c r="D3" i="1" s="1"/>
  <c r="B20" i="1" s="1"/>
  <c r="B35" i="1" s="1"/>
  <c r="B38" i="1" s="1"/>
  <c r="B28" i="1" s="1"/>
  <c r="E38" i="1" s="1"/>
  <c r="D35" i="1" l="1"/>
  <c r="D38" i="1" s="1"/>
  <c r="F4" i="1"/>
  <c r="B5" i="1"/>
  <c r="B6" i="1"/>
  <c r="D5" i="1"/>
  <c r="I5" i="1"/>
</calcChain>
</file>

<file path=xl/sharedStrings.xml><?xml version="1.0" encoding="utf-8"?>
<sst xmlns="http://schemas.openxmlformats.org/spreadsheetml/2006/main" count="65" uniqueCount="51">
  <si>
    <t>dimensions</t>
  </si>
  <si>
    <t>diameter</t>
  </si>
  <si>
    <t>lenght</t>
  </si>
  <si>
    <t>helium tank</t>
  </si>
  <si>
    <t xml:space="preserve">thermal shield </t>
  </si>
  <si>
    <t>surface</t>
  </si>
  <si>
    <t>He tank tickness</t>
  </si>
  <si>
    <t>vacuum vessel</t>
  </si>
  <si>
    <t>vacuum vessel thickness</t>
  </si>
  <si>
    <t>radial diameter helium tank + FPC</t>
  </si>
  <si>
    <t>material</t>
  </si>
  <si>
    <t>304L Rp0.2=240 Mpa, SF=1.5</t>
  </si>
  <si>
    <t>Al 6000</t>
  </si>
  <si>
    <t>Low C steel</t>
  </si>
  <si>
    <t xml:space="preserve">8mm + 2 reinforcement rings at each FPC. Calculation from formula gives: </t>
  </si>
  <si>
    <t>Source of HL</t>
  </si>
  <si>
    <t>HL (W) @ 4.2 K</t>
  </si>
  <si>
    <t>HL (W) @ 50 K</t>
  </si>
  <si>
    <t>4.2 K liquid boil-off (g/s)</t>
  </si>
  <si>
    <t>Liquefaction load (g/s)</t>
  </si>
  <si>
    <t>Thermal shield mass flow (g/s)</t>
  </si>
  <si>
    <r>
      <t>(with T</t>
    </r>
    <r>
      <rPr>
        <b/>
        <vertAlign val="subscript"/>
        <sz val="14"/>
        <color rgb="FFFFFFFF"/>
        <rFont val="Arial"/>
        <family val="2"/>
      </rPr>
      <t>in</t>
    </r>
    <r>
      <rPr>
        <b/>
        <sz val="14"/>
        <color rgb="FFFFFFFF"/>
        <rFont val="Arial"/>
        <family val="2"/>
      </rPr>
      <t>=50K, T</t>
    </r>
    <r>
      <rPr>
        <b/>
        <vertAlign val="subscript"/>
        <sz val="14"/>
        <color rgb="FFFFFFFF"/>
        <rFont val="Arial"/>
        <family val="2"/>
      </rPr>
      <t>out</t>
    </r>
    <r>
      <rPr>
        <b/>
        <sz val="14"/>
        <color rgb="FFFFFFFF"/>
        <rFont val="Arial"/>
        <family val="2"/>
      </rPr>
      <t>=55 K )</t>
    </r>
  </si>
  <si>
    <t>Supports conduction</t>
  </si>
  <si>
    <t>-</t>
  </si>
  <si>
    <t xml:space="preserve">- </t>
  </si>
  <si>
    <t>RF Couplers conduction (uncooled)</t>
  </si>
  <si>
    <t>RF Couplers conduction (ideal vapor cooling)</t>
  </si>
  <si>
    <t>Radiation, with thermal shield @ 50 K</t>
  </si>
  <si>
    <t>Radiation from beam tube cones</t>
  </si>
  <si>
    <t>tie rod</t>
  </si>
  <si>
    <t>FPC</t>
  </si>
  <si>
    <t>FPC conduction [W]</t>
  </si>
  <si>
    <t>tie rod conduction [W]</t>
  </si>
  <si>
    <t>FPC vapour coupled self sustained st.steel (3% of normal conduction)</t>
  </si>
  <si>
    <t>associated mass flow [g/s] (Lv=1.9 10^4 J/kg)</t>
  </si>
  <si>
    <t>Supporting ssystem: FPC+1 st.steel tie rod vertical/cavity+2 ties/cavity transversal+1long</t>
  </si>
  <si>
    <t>Total no. of tie rods in CM</t>
  </si>
  <si>
    <t>Radiations to Cold surface [W]  (assuming 50mW/m2), thermal shield at 50 K</t>
  </si>
  <si>
    <t>Associated liquefaction power [W] (assuming 100 W/(1g/s) and 220 W/W efficiency)</t>
  </si>
  <si>
    <t>Radiation from vessel to thermal shield at 50K (assuming 1.5 W/m2)</t>
  </si>
  <si>
    <t>Radiation, without thermal shield (calculated with toolbox)</t>
  </si>
  <si>
    <t>radiation from conical part [W] assuming a blank flange 0.3 m at RT as gray body with emissivity 0.2</t>
  </si>
  <si>
    <t>Totals (with Th shield and vapor cooled FPC)</t>
  </si>
  <si>
    <t>ticknesss (assuming ATmax=5K)</t>
  </si>
  <si>
    <t>T</t>
  </si>
  <si>
    <t>Thermal shield mass flow calculation</t>
  </si>
  <si>
    <t>cp at 50 K [J/kg/k]</t>
  </si>
  <si>
    <t>Tout-Tin [K]</t>
  </si>
  <si>
    <t>mass flow [g/s]</t>
  </si>
  <si>
    <t>4.2 K He boil off [g/s] at cavity helium vessels (Lv 21000 J/kg)</t>
  </si>
  <si>
    <t>Exercise by V.Parma, 15 Nov.2024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</si>
</sst>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b/>
      <sz val="14"/>
      <color rgb="FFFFFFFF"/>
      <name val="Arial"/>
      <family val="2"/>
    </font>
    <font>
      <b/>
      <vertAlign val="subscript"/>
      <sz val="14"/>
      <color rgb="FFFFFFFF"/>
      <name val="Arial"/>
      <family val="2"/>
    </font>
    <font>
      <sz val="14"/>
      <color rgb="FF000000"/>
      <name val="Arial"/>
      <family val="2"/>
    </font>
    <font>
      <b/>
      <sz val="18"/>
      <color rgb="FF000000"/>
      <name val="Arial"/>
      <family val="2"/>
    </font>
    <font>
      <b/>
      <sz val="1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CFD5EA"/>
        <bgColor indexed="64"/>
      </patternFill>
    </fill>
    <fill>
      <patternFill patternType="solid">
        <fgColor rgb="FFE9EBF5"/>
        <bgColor indexed="64"/>
      </patternFill>
    </fill>
  </fills>
  <borders count="14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/>
      <right style="medium">
        <color rgb="FFFFFFFF"/>
      </right>
      <top/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/>
      <top style="thick">
        <color rgb="FFFFFFFF"/>
      </top>
      <bottom style="medium">
        <color rgb="FFFFFFFF"/>
      </bottom>
      <diagonal/>
    </border>
    <border>
      <left/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1">
    <xf numFmtId="0" fontId="0" fillId="0" borderId="0"/>
  </cellStyleXfs>
  <cellXfs count="41">
    <xf numFmtId="0" fontId="0" fillId="0" borderId="0" xfId="0"/>
    <xf numFmtId="2" fontId="0" fillId="0" borderId="0" xfId="0" applyNumberFormat="1"/>
    <xf numFmtId="0" fontId="3" fillId="2" borderId="1" xfId="0" applyFont="1" applyFill="1" applyBorder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center" vertical="center" wrapText="1" readingOrder="1"/>
    </xf>
    <xf numFmtId="0" fontId="5" fillId="3" borderId="7" xfId="0" applyFont="1" applyFill="1" applyBorder="1" applyAlignment="1">
      <alignment horizontal="left" vertical="center" wrapText="1" readingOrder="1"/>
    </xf>
    <xf numFmtId="0" fontId="5" fillId="3" borderId="7" xfId="0" applyFont="1" applyFill="1" applyBorder="1" applyAlignment="1">
      <alignment horizontal="center" vertical="center" wrapText="1" readingOrder="1"/>
    </xf>
    <xf numFmtId="0" fontId="2" fillId="3" borderId="7" xfId="0" applyFont="1" applyFill="1" applyBorder="1" applyAlignment="1">
      <alignment vertical="top" wrapText="1"/>
    </xf>
    <xf numFmtId="0" fontId="5" fillId="4" borderId="10" xfId="0" applyFont="1" applyFill="1" applyBorder="1" applyAlignment="1">
      <alignment horizontal="left" vertical="center" wrapText="1" readingOrder="1"/>
    </xf>
    <xf numFmtId="0" fontId="2" fillId="4" borderId="10" xfId="0" applyFont="1" applyFill="1" applyBorder="1" applyAlignment="1">
      <alignment vertical="top" wrapText="1"/>
    </xf>
    <xf numFmtId="0" fontId="5" fillId="4" borderId="10" xfId="0" applyFont="1" applyFill="1" applyBorder="1" applyAlignment="1">
      <alignment horizontal="center" vertical="center" wrapText="1" readingOrder="1"/>
    </xf>
    <xf numFmtId="0" fontId="2" fillId="4" borderId="10" xfId="0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horizontal="left" vertical="center" wrapText="1" readingOrder="1"/>
    </xf>
    <xf numFmtId="0" fontId="5" fillId="3" borderId="10" xfId="0" applyFont="1" applyFill="1" applyBorder="1" applyAlignment="1">
      <alignment horizontal="center" vertical="center" wrapText="1" readingOrder="1"/>
    </xf>
    <xf numFmtId="0" fontId="2" fillId="3" borderId="10" xfId="0" applyFont="1" applyFill="1" applyBorder="1" applyAlignment="1">
      <alignment vertical="top" wrapText="1"/>
    </xf>
    <xf numFmtId="0" fontId="6" fillId="3" borderId="10" xfId="0" applyFont="1" applyFill="1" applyBorder="1" applyAlignment="1">
      <alignment horizontal="left" vertical="center" wrapText="1" readingOrder="1"/>
    </xf>
    <xf numFmtId="0" fontId="3" fillId="2" borderId="1" xfId="0" applyFont="1" applyFill="1" applyBorder="1" applyAlignment="1">
      <alignment horizontal="left" vertical="center" wrapText="1" readingOrder="1"/>
    </xf>
    <xf numFmtId="0" fontId="3" fillId="2" borderId="2" xfId="0" applyFont="1" applyFill="1" applyBorder="1" applyAlignment="1">
      <alignment horizontal="left" vertical="center" wrapText="1" readingOrder="1"/>
    </xf>
    <xf numFmtId="0" fontId="3" fillId="2" borderId="3" xfId="0" applyFont="1" applyFill="1" applyBorder="1" applyAlignment="1">
      <alignment horizontal="center" vertical="center" wrapText="1" readingOrder="1"/>
    </xf>
    <xf numFmtId="0" fontId="3" fillId="2" borderId="4" xfId="0" applyFont="1" applyFill="1" applyBorder="1" applyAlignment="1">
      <alignment horizontal="center" vertical="center" wrapText="1" readingOrder="1"/>
    </xf>
    <xf numFmtId="0" fontId="3" fillId="2" borderId="5" xfId="0" applyFont="1" applyFill="1" applyBorder="1" applyAlignment="1">
      <alignment horizontal="center" vertical="center" wrapText="1" readingOrder="1"/>
    </xf>
    <xf numFmtId="0" fontId="3" fillId="2" borderId="6" xfId="0" applyFont="1" applyFill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center" vertical="center" wrapText="1" readingOrder="1"/>
    </xf>
    <xf numFmtId="0" fontId="2" fillId="3" borderId="8" xfId="0" applyFont="1" applyFill="1" applyBorder="1" applyAlignment="1">
      <alignment vertical="top" wrapText="1"/>
    </xf>
    <xf numFmtId="0" fontId="2" fillId="3" borderId="9" xfId="0" applyFont="1" applyFill="1" applyBorder="1" applyAlignment="1">
      <alignment vertical="top" wrapText="1"/>
    </xf>
    <xf numFmtId="0" fontId="5" fillId="4" borderId="1" xfId="0" applyFont="1" applyFill="1" applyBorder="1" applyAlignment="1">
      <alignment horizontal="center" vertical="center" wrapText="1" readingOrder="1"/>
    </xf>
    <xf numFmtId="0" fontId="5" fillId="4" borderId="11" xfId="0" applyFont="1" applyFill="1" applyBorder="1" applyAlignment="1">
      <alignment horizontal="center" vertical="center" wrapText="1" readingOrder="1"/>
    </xf>
    <xf numFmtId="0" fontId="2" fillId="4" borderId="13" xfId="0" applyFont="1" applyFill="1" applyBorder="1" applyAlignment="1">
      <alignment vertical="top" wrapText="1"/>
    </xf>
    <xf numFmtId="0" fontId="2" fillId="3" borderId="12" xfId="0" applyFont="1" applyFill="1" applyBorder="1" applyAlignment="1">
      <alignment vertical="top" wrapText="1"/>
    </xf>
    <xf numFmtId="0" fontId="2" fillId="3" borderId="13" xfId="0" applyFont="1" applyFill="1" applyBorder="1" applyAlignment="1">
      <alignment vertical="top" wrapText="1"/>
    </xf>
    <xf numFmtId="168" fontId="2" fillId="3" borderId="10" xfId="0" applyNumberFormat="1" applyFont="1" applyFill="1" applyBorder="1" applyAlignment="1">
      <alignment vertical="top" wrapText="1"/>
    </xf>
    <xf numFmtId="2" fontId="2" fillId="4" borderId="12" xfId="0" applyNumberFormat="1" applyFont="1" applyFill="1" applyBorder="1" applyAlignment="1">
      <alignment vertical="top" wrapText="1"/>
    </xf>
    <xf numFmtId="2" fontId="2" fillId="4" borderId="13" xfId="0" applyNumberFormat="1" applyFont="1" applyFill="1" applyBorder="1" applyAlignment="1">
      <alignment vertical="top" wrapText="1"/>
    </xf>
    <xf numFmtId="2" fontId="7" fillId="3" borderId="12" xfId="0" applyNumberFormat="1" applyFont="1" applyFill="1" applyBorder="1" applyAlignment="1">
      <alignment vertical="top" wrapText="1"/>
    </xf>
    <xf numFmtId="0" fontId="7" fillId="3" borderId="13" xfId="0" applyFont="1" applyFill="1" applyBorder="1" applyAlignment="1">
      <alignment vertical="top" wrapText="1"/>
    </xf>
    <xf numFmtId="2" fontId="7" fillId="3" borderId="10" xfId="0" applyNumberFormat="1" applyFont="1" applyFill="1" applyBorder="1" applyAlignment="1">
      <alignment vertical="top" wrapText="1"/>
    </xf>
    <xf numFmtId="168" fontId="7" fillId="3" borderId="10" xfId="0" applyNumberFormat="1" applyFont="1" applyFill="1" applyBorder="1" applyAlignment="1">
      <alignment vertical="top" wrapText="1"/>
    </xf>
    <xf numFmtId="168" fontId="0" fillId="0" borderId="0" xfId="0" applyNumberFormat="1"/>
    <xf numFmtId="2" fontId="5" fillId="3" borderId="7" xfId="0" applyNumberFormat="1" applyFont="1" applyFill="1" applyBorder="1" applyAlignment="1">
      <alignment horizontal="center" vertical="center" wrapText="1" readingOrder="1"/>
    </xf>
    <xf numFmtId="2" fontId="2" fillId="4" borderId="10" xfId="0" applyNumberFormat="1" applyFont="1" applyFill="1" applyBorder="1" applyAlignment="1">
      <alignment vertical="top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7E680-933B-491E-9AD4-F70CDAA689B9}">
  <dimension ref="A1:I38"/>
  <sheetViews>
    <sheetView tabSelected="1" workbookViewId="0">
      <selection activeCell="A5" sqref="A5"/>
    </sheetView>
  </sheetViews>
  <sheetFormatPr defaultRowHeight="15" x14ac:dyDescent="0.25"/>
  <cols>
    <col min="1" max="1" width="86.28515625" bestFit="1" customWidth="1"/>
    <col min="2" max="2" width="10" bestFit="1" customWidth="1"/>
    <col min="3" max="3" width="11.85546875" bestFit="1" customWidth="1"/>
    <col min="4" max="4" width="19.42578125" bestFit="1" customWidth="1"/>
    <col min="5" max="5" width="25.5703125" bestFit="1" customWidth="1"/>
    <col min="6" max="6" width="32.85546875" bestFit="1" customWidth="1"/>
    <col min="7" max="7" width="31.28515625" bestFit="1" customWidth="1"/>
    <col min="8" max="8" width="67.140625" bestFit="1" customWidth="1"/>
  </cols>
  <sheetData>
    <row r="1" spans="1:9" x14ac:dyDescent="0.25">
      <c r="A1" s="40" t="s">
        <v>50</v>
      </c>
    </row>
    <row r="2" spans="1:9" x14ac:dyDescent="0.25">
      <c r="A2" t="s">
        <v>0</v>
      </c>
      <c r="B2" t="s">
        <v>1</v>
      </c>
      <c r="C2" t="s">
        <v>2</v>
      </c>
      <c r="D2" t="s">
        <v>5</v>
      </c>
      <c r="E2" t="s">
        <v>10</v>
      </c>
      <c r="F2" t="s">
        <v>43</v>
      </c>
      <c r="G2" t="s">
        <v>6</v>
      </c>
      <c r="H2" t="s">
        <v>8</v>
      </c>
    </row>
    <row r="3" spans="1:9" x14ac:dyDescent="0.25">
      <c r="A3" t="s">
        <v>3</v>
      </c>
      <c r="B3">
        <f>0.74+2*0.03</f>
        <v>0.8</v>
      </c>
      <c r="C3">
        <f>0.28/(B3^2*3.14/4)</f>
        <v>0.5573248407643312</v>
      </c>
      <c r="D3" s="1">
        <f>3.14*B3*C3+2*B3^2*3.14/4</f>
        <v>2.4048000000000003</v>
      </c>
      <c r="E3" s="1" t="s">
        <v>11</v>
      </c>
      <c r="F3" s="1"/>
      <c r="G3">
        <f>0.4*B3/2/(240/1.5)</f>
        <v>1.0000000000000002E-3</v>
      </c>
    </row>
    <row r="4" spans="1:9" x14ac:dyDescent="0.25">
      <c r="A4" t="s">
        <v>4</v>
      </c>
      <c r="B4">
        <f>B3+2*0.1</f>
        <v>1</v>
      </c>
      <c r="C4">
        <v>10</v>
      </c>
      <c r="D4" s="1">
        <f>3.14*B4*C4+2*B4^2*3.14/4</f>
        <v>32.97</v>
      </c>
      <c r="E4" s="1" t="s">
        <v>12</v>
      </c>
      <c r="F4" s="37">
        <f>B21/D4*(3.14*B4/2)^2/(2*85*5)</f>
        <v>4.3498235294117645E-3</v>
      </c>
    </row>
    <row r="5" spans="1:9" x14ac:dyDescent="0.25">
      <c r="A5" t="s">
        <v>7</v>
      </c>
      <c r="B5">
        <f>B4+2*0.2</f>
        <v>1.4</v>
      </c>
      <c r="C5">
        <v>10</v>
      </c>
      <c r="D5" s="1">
        <f>3.14*B5*C5+2*B5^2*3.14/4</f>
        <v>47.037199999999999</v>
      </c>
      <c r="E5" s="1" t="s">
        <v>13</v>
      </c>
      <c r="F5" s="1"/>
      <c r="H5" t="s">
        <v>14</v>
      </c>
      <c r="I5">
        <f>2%*B5</f>
        <v>2.7999999999999997E-2</v>
      </c>
    </row>
    <row r="6" spans="1:9" x14ac:dyDescent="0.25">
      <c r="A6" t="s">
        <v>9</v>
      </c>
      <c r="B6">
        <f>B4/2+0.5</f>
        <v>1</v>
      </c>
    </row>
    <row r="7" spans="1:9" x14ac:dyDescent="0.25">
      <c r="A7" t="s">
        <v>29</v>
      </c>
      <c r="B7">
        <v>6.0000000000000001E-3</v>
      </c>
      <c r="C7">
        <v>0.5</v>
      </c>
      <c r="D7">
        <f>3.14*B7^2/4</f>
        <v>2.826E-5</v>
      </c>
    </row>
    <row r="9" spans="1:9" x14ac:dyDescent="0.25">
      <c r="A9" t="s">
        <v>32</v>
      </c>
      <c r="B9">
        <f>15*10^-3</f>
        <v>1.4999999999999999E-2</v>
      </c>
    </row>
    <row r="10" spans="1:9" x14ac:dyDescent="0.25">
      <c r="A10" t="s">
        <v>30</v>
      </c>
      <c r="B10">
        <v>0.2</v>
      </c>
      <c r="C10">
        <v>0.5</v>
      </c>
      <c r="D10">
        <f>3.14*B10*F10</f>
        <v>1.2560000000000002E-3</v>
      </c>
      <c r="F10">
        <v>2E-3</v>
      </c>
    </row>
    <row r="11" spans="1:9" x14ac:dyDescent="0.25">
      <c r="A11" t="s">
        <v>31</v>
      </c>
      <c r="B11">
        <v>7.38</v>
      </c>
    </row>
    <row r="12" spans="1:9" x14ac:dyDescent="0.25">
      <c r="A12" t="s">
        <v>33</v>
      </c>
      <c r="B12">
        <f>B11*0.03</f>
        <v>0.22139999999999999</v>
      </c>
    </row>
    <row r="13" spans="1:9" x14ac:dyDescent="0.25">
      <c r="A13" t="s">
        <v>34</v>
      </c>
      <c r="B13">
        <f>B12/(1.9*10000)*1000</f>
        <v>1.1652631578947368E-2</v>
      </c>
    </row>
    <row r="14" spans="1:9" x14ac:dyDescent="0.25">
      <c r="A14" t="s">
        <v>38</v>
      </c>
      <c r="B14" s="1">
        <f>B13*100*220</f>
        <v>256.35789473684207</v>
      </c>
    </row>
    <row r="16" spans="1:9" x14ac:dyDescent="0.25">
      <c r="A16" t="s">
        <v>35</v>
      </c>
    </row>
    <row r="17" spans="1:7" x14ac:dyDescent="0.25">
      <c r="A17" t="s">
        <v>36</v>
      </c>
      <c r="B17">
        <f>4*(4)</f>
        <v>16</v>
      </c>
    </row>
    <row r="20" spans="1:7" x14ac:dyDescent="0.25">
      <c r="A20" t="s">
        <v>37</v>
      </c>
      <c r="B20" s="1">
        <f>4*D3*50/1000</f>
        <v>0.48096000000000005</v>
      </c>
    </row>
    <row r="21" spans="1:7" x14ac:dyDescent="0.25">
      <c r="A21" t="s">
        <v>39</v>
      </c>
      <c r="B21">
        <f>1.5*D4</f>
        <v>49.454999999999998</v>
      </c>
    </row>
    <row r="22" spans="1:7" x14ac:dyDescent="0.25">
      <c r="A22" t="s">
        <v>41</v>
      </c>
      <c r="B22" s="1">
        <f>3.14*0.3^2/4*0.2*5.6*10^-8*293^4</f>
        <v>5.8317737978152806</v>
      </c>
    </row>
    <row r="23" spans="1:7" x14ac:dyDescent="0.25">
      <c r="A23" t="s">
        <v>44</v>
      </c>
    </row>
    <row r="24" spans="1:7" x14ac:dyDescent="0.25">
      <c r="A24" t="s">
        <v>45</v>
      </c>
    </row>
    <row r="25" spans="1:7" x14ac:dyDescent="0.25">
      <c r="A25" t="s">
        <v>46</v>
      </c>
      <c r="B25">
        <f>5200</f>
        <v>5200</v>
      </c>
    </row>
    <row r="26" spans="1:7" x14ac:dyDescent="0.25">
      <c r="A26" t="s">
        <v>47</v>
      </c>
      <c r="B26">
        <v>5</v>
      </c>
    </row>
    <row r="27" spans="1:7" x14ac:dyDescent="0.25">
      <c r="A27" t="s">
        <v>48</v>
      </c>
      <c r="B27" s="1">
        <f>B21/(B25*B26)*1000</f>
        <v>1.9021153846153844</v>
      </c>
    </row>
    <row r="28" spans="1:7" x14ac:dyDescent="0.25">
      <c r="A28" t="s">
        <v>49</v>
      </c>
      <c r="B28" s="37">
        <f>B38/21000*1000</f>
        <v>0.63190988550621718</v>
      </c>
    </row>
    <row r="29" spans="1:7" ht="15.75" thickBot="1" x14ac:dyDescent="0.3"/>
    <row r="30" spans="1:7" ht="36" x14ac:dyDescent="0.25">
      <c r="A30" s="15" t="s">
        <v>15</v>
      </c>
      <c r="B30" s="17" t="s">
        <v>16</v>
      </c>
      <c r="C30" s="18"/>
      <c r="D30" s="21" t="s">
        <v>17</v>
      </c>
      <c r="E30" s="21" t="s">
        <v>18</v>
      </c>
      <c r="F30" s="21" t="s">
        <v>19</v>
      </c>
      <c r="G30" s="2" t="s">
        <v>20</v>
      </c>
    </row>
    <row r="31" spans="1:7" ht="39.75" thickBot="1" x14ac:dyDescent="0.3">
      <c r="A31" s="16"/>
      <c r="B31" s="19"/>
      <c r="C31" s="20"/>
      <c r="D31" s="22"/>
      <c r="E31" s="22"/>
      <c r="F31" s="22"/>
      <c r="G31" s="3" t="s">
        <v>21</v>
      </c>
    </row>
    <row r="32" spans="1:7" ht="24.75" thickTop="1" thickBot="1" x14ac:dyDescent="0.3">
      <c r="A32" s="4" t="s">
        <v>22</v>
      </c>
      <c r="B32" s="23">
        <f>B17*B9</f>
        <v>0.24</v>
      </c>
      <c r="C32" s="24"/>
      <c r="D32" s="5" t="s">
        <v>23</v>
      </c>
      <c r="E32" s="6"/>
      <c r="F32" s="5" t="s">
        <v>24</v>
      </c>
      <c r="G32" s="38">
        <f>B27</f>
        <v>1.9021153846153844</v>
      </c>
    </row>
    <row r="33" spans="1:7" ht="24" thickBot="1" x14ac:dyDescent="0.3">
      <c r="A33" s="7" t="s">
        <v>25</v>
      </c>
      <c r="B33" s="8">
        <f>4*B11</f>
        <v>29.52</v>
      </c>
      <c r="C33" s="9" t="s">
        <v>23</v>
      </c>
      <c r="D33" s="25" t="s">
        <v>23</v>
      </c>
      <c r="E33" s="10"/>
      <c r="F33" s="9" t="s">
        <v>23</v>
      </c>
      <c r="G33" s="9" t="s">
        <v>23</v>
      </c>
    </row>
    <row r="34" spans="1:7" ht="24" thickBot="1" x14ac:dyDescent="0.3">
      <c r="A34" s="11" t="s">
        <v>26</v>
      </c>
      <c r="B34" s="12" t="s">
        <v>23</v>
      </c>
      <c r="C34" s="13">
        <f>4*B12</f>
        <v>0.88559999999999994</v>
      </c>
      <c r="D34" s="26"/>
      <c r="E34" s="13"/>
      <c r="F34" s="30">
        <f>4*B13</f>
        <v>4.661052631578947E-2</v>
      </c>
      <c r="G34" s="12" t="s">
        <v>23</v>
      </c>
    </row>
    <row r="35" spans="1:7" ht="24" thickBot="1" x14ac:dyDescent="0.3">
      <c r="A35" s="7" t="s">
        <v>27</v>
      </c>
      <c r="B35" s="31">
        <f>B20</f>
        <v>0.48096000000000005</v>
      </c>
      <c r="C35" s="27"/>
      <c r="D35" s="39">
        <f>B21</f>
        <v>49.454999999999998</v>
      </c>
      <c r="E35" s="8"/>
      <c r="F35" s="9" t="s">
        <v>23</v>
      </c>
      <c r="G35" s="9" t="s">
        <v>23</v>
      </c>
    </row>
    <row r="36" spans="1:7" ht="24" thickBot="1" x14ac:dyDescent="0.3">
      <c r="A36" s="11" t="s">
        <v>40</v>
      </c>
      <c r="B36" s="28">
        <v>392</v>
      </c>
      <c r="C36" s="29"/>
      <c r="D36" s="12" t="s">
        <v>23</v>
      </c>
      <c r="E36" s="13"/>
      <c r="F36" s="12" t="s">
        <v>23</v>
      </c>
      <c r="G36" s="12" t="s">
        <v>23</v>
      </c>
    </row>
    <row r="37" spans="1:7" ht="24" thickBot="1" x14ac:dyDescent="0.3">
      <c r="A37" s="7" t="s">
        <v>28</v>
      </c>
      <c r="B37" s="31">
        <f>2*B22</f>
        <v>11.663547595630561</v>
      </c>
      <c r="C37" s="32"/>
      <c r="D37" s="9" t="s">
        <v>23</v>
      </c>
      <c r="E37" s="8"/>
      <c r="F37" s="9" t="s">
        <v>23</v>
      </c>
      <c r="G37" s="9" t="s">
        <v>23</v>
      </c>
    </row>
    <row r="38" spans="1:7" ht="24" thickBot="1" x14ac:dyDescent="0.3">
      <c r="A38" s="14" t="s">
        <v>42</v>
      </c>
      <c r="B38" s="33">
        <f>B37+B35+C34+B32</f>
        <v>13.270107595630561</v>
      </c>
      <c r="C38" s="34"/>
      <c r="D38" s="35">
        <f>D35</f>
        <v>49.454999999999998</v>
      </c>
      <c r="E38" s="36">
        <f>B28</f>
        <v>0.63190988550621718</v>
      </c>
      <c r="F38" s="36">
        <f>F34</f>
        <v>4.661052631578947E-2</v>
      </c>
      <c r="G38" s="35">
        <f>G32</f>
        <v>1.9021153846153844</v>
      </c>
    </row>
  </sheetData>
  <mergeCells count="11">
    <mergeCell ref="D33:D34"/>
    <mergeCell ref="B35:C35"/>
    <mergeCell ref="B36:C36"/>
    <mergeCell ref="B37:C37"/>
    <mergeCell ref="B38:C38"/>
    <mergeCell ref="A30:A31"/>
    <mergeCell ref="B30:C31"/>
    <mergeCell ref="D30:D31"/>
    <mergeCell ref="E30:E31"/>
    <mergeCell ref="F30:F31"/>
    <mergeCell ref="B32:C3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2401 Training</dc:creator>
  <cp:lastModifiedBy>2401 Training</cp:lastModifiedBy>
  <dcterms:created xsi:type="dcterms:W3CDTF">2024-11-15T09:40:30Z</dcterms:created>
  <dcterms:modified xsi:type="dcterms:W3CDTF">2024-11-15T13:30:02Z</dcterms:modified>
</cp:coreProperties>
</file>