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2.xml" ContentType="application/vnd.openxmlformats-officedocument.drawing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3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manuele\Desktop\job\talks\GridPPtech\"/>
    </mc:Choice>
  </mc:AlternateContent>
  <xr:revisionPtr revIDLastSave="0" documentId="13_ncr:1_{07496439-CD53-440F-BB12-48DB5EAE8E41}" xr6:coauthVersionLast="47" xr6:coauthVersionMax="47" xr10:uidLastSave="{00000000-0000-0000-0000-000000000000}"/>
  <bookViews>
    <workbookView xWindow="948" yWindow="576" windowWidth="21360" windowHeight="11700" tabRatio="400" xr2:uid="{F68487D5-670C-40D6-A166-D28D1E48E706}"/>
  </bookViews>
  <sheets>
    <sheet name="HS23_Watt" sheetId="8" r:id="rId1"/>
    <sheet name="CO2e_updated" sheetId="12" r:id="rId2"/>
    <sheet name="hardware" sheetId="10" r:id="rId3"/>
  </sheets>
  <calcPr calcId="181029"/>
</workbook>
</file>

<file path=xl/calcChain.xml><?xml version="1.0" encoding="utf-8"?>
<calcChain xmlns="http://schemas.openxmlformats.org/spreadsheetml/2006/main">
  <c r="F21" i="12" l="1"/>
  <c r="F20" i="12"/>
  <c r="F19" i="12"/>
  <c r="F18" i="12"/>
  <c r="F17" i="12"/>
  <c r="F16" i="12"/>
  <c r="F15" i="12"/>
  <c r="F14" i="12"/>
  <c r="F13" i="12"/>
  <c r="F12" i="12"/>
  <c r="F11" i="12"/>
  <c r="F10" i="12"/>
  <c r="F9" i="12"/>
  <c r="F8" i="12"/>
  <c r="F7" i="12"/>
  <c r="F6" i="12"/>
  <c r="F5" i="12"/>
  <c r="F4" i="12"/>
  <c r="F3" i="12"/>
  <c r="M6" i="10"/>
  <c r="M7" i="10"/>
  <c r="M8" i="10"/>
  <c r="M9" i="10"/>
  <c r="M10" i="10"/>
  <c r="M11" i="10"/>
  <c r="M12" i="10"/>
  <c r="M13" i="10"/>
  <c r="M14" i="10"/>
  <c r="M15" i="10"/>
  <c r="M16" i="10"/>
  <c r="M17" i="10"/>
  <c r="M18" i="10"/>
  <c r="M19" i="10"/>
  <c r="M20" i="10"/>
  <c r="M21" i="10"/>
  <c r="M5" i="10"/>
  <c r="M4" i="10"/>
  <c r="M3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6" i="10"/>
  <c r="F5" i="10"/>
  <c r="F4" i="10"/>
  <c r="F3" i="10"/>
  <c r="AA13" i="8"/>
  <c r="AA14" i="8"/>
  <c r="AA15" i="8"/>
  <c r="AB15" i="8"/>
  <c r="Y15" i="8"/>
  <c r="V14" i="8"/>
  <c r="AF14" i="8" s="1"/>
  <c r="V13" i="8"/>
  <c r="AF13" i="8" s="1"/>
  <c r="W14" i="8"/>
  <c r="AB14" i="8" s="1"/>
  <c r="W15" i="8"/>
  <c r="AC15" i="8"/>
  <c r="AC14" i="8"/>
  <c r="AC13" i="8"/>
  <c r="E15" i="8"/>
  <c r="V15" i="8" s="1"/>
  <c r="AF15" i="8" s="1"/>
  <c r="E14" i="8"/>
  <c r="E13" i="8"/>
  <c r="W13" i="8" s="1"/>
  <c r="W87" i="8"/>
  <c r="Y82" i="8"/>
  <c r="AA82" i="8" s="1"/>
  <c r="W85" i="8"/>
  <c r="Y85" i="8" s="1"/>
  <c r="AA85" i="8" s="1"/>
  <c r="W84" i="8"/>
  <c r="Y84" i="8" s="1"/>
  <c r="W83" i="8"/>
  <c r="Y83" i="8" s="1"/>
  <c r="W82" i="8"/>
  <c r="W81" i="8"/>
  <c r="Y81" i="8" s="1"/>
  <c r="AA81" i="8" s="1"/>
  <c r="W80" i="8"/>
  <c r="Y80" i="8" s="1"/>
  <c r="AA80" i="8" s="1"/>
  <c r="W79" i="8"/>
  <c r="Y79" i="8" s="1"/>
  <c r="AA79" i="8" s="1"/>
  <c r="W78" i="8"/>
  <c r="Y78" i="8" s="1"/>
  <c r="AA78" i="8" s="1"/>
  <c r="W77" i="8"/>
  <c r="Y77" i="8" s="1"/>
  <c r="AA77" i="8" s="1"/>
  <c r="W76" i="8"/>
  <c r="Y76" i="8" s="1"/>
  <c r="AA76" i="8" s="1"/>
  <c r="W75" i="8"/>
  <c r="Y75" i="8" s="1"/>
  <c r="AA75" i="8" s="1"/>
  <c r="W74" i="8"/>
  <c r="Y74" i="8" s="1"/>
  <c r="AA74" i="8" s="1"/>
  <c r="W73" i="8"/>
  <c r="Y73" i="8" s="1"/>
  <c r="AA73" i="8" s="1"/>
  <c r="W72" i="8"/>
  <c r="Y72" i="8" s="1"/>
  <c r="W71" i="8"/>
  <c r="Y71" i="8" s="1"/>
  <c r="W70" i="8"/>
  <c r="Y70" i="8" s="1"/>
  <c r="AA70" i="8" s="1"/>
  <c r="X84" i="8"/>
  <c r="X83" i="8"/>
  <c r="X82" i="8"/>
  <c r="X80" i="8"/>
  <c r="X72" i="8"/>
  <c r="AA72" i="8" s="1"/>
  <c r="X71" i="8"/>
  <c r="E7" i="8"/>
  <c r="E21" i="8"/>
  <c r="E20" i="8"/>
  <c r="E19" i="8"/>
  <c r="E18" i="8"/>
  <c r="E17" i="8"/>
  <c r="E16" i="8"/>
  <c r="E12" i="8"/>
  <c r="E11" i="8"/>
  <c r="E10" i="8"/>
  <c r="E9" i="8"/>
  <c r="E8" i="8"/>
  <c r="E6" i="8"/>
  <c r="E5" i="8"/>
  <c r="E4" i="8"/>
  <c r="E3" i="8"/>
  <c r="AC4" i="8"/>
  <c r="AA4" i="8"/>
  <c r="W4" i="8"/>
  <c r="AB4" i="8" s="1"/>
  <c r="V4" i="8"/>
  <c r="AF4" i="8" s="1"/>
  <c r="T4" i="8"/>
  <c r="J4" i="8"/>
  <c r="T20" i="8"/>
  <c r="T19" i="8"/>
  <c r="T18" i="8"/>
  <c r="T16" i="8"/>
  <c r="T5" i="8"/>
  <c r="V20" i="8"/>
  <c r="AF20" i="8" s="1"/>
  <c r="W20" i="8"/>
  <c r="AB20" i="8" s="1"/>
  <c r="W19" i="8"/>
  <c r="V19" i="8"/>
  <c r="AF19" i="8" s="1"/>
  <c r="W18" i="8"/>
  <c r="AB18" i="8" s="1"/>
  <c r="W16" i="8"/>
  <c r="V18" i="8"/>
  <c r="AF18" i="8" s="1"/>
  <c r="V16" i="8"/>
  <c r="AF16" i="8" s="1"/>
  <c r="W5" i="8"/>
  <c r="Y5" i="8" s="1"/>
  <c r="V5" i="8"/>
  <c r="AF5" i="8" s="1"/>
  <c r="AF3" i="8"/>
  <c r="AA11" i="8"/>
  <c r="AB11" i="8"/>
  <c r="AC11" i="8"/>
  <c r="AF11" i="8"/>
  <c r="Y11" i="8"/>
  <c r="Y12" i="8"/>
  <c r="J11" i="8"/>
  <c r="AA20" i="8"/>
  <c r="AC20" i="8"/>
  <c r="J20" i="8"/>
  <c r="AA10" i="8"/>
  <c r="AB10" i="8"/>
  <c r="AC10" i="8"/>
  <c r="AF10" i="8"/>
  <c r="Y10" i="8"/>
  <c r="J10" i="8"/>
  <c r="AF6" i="8"/>
  <c r="AC6" i="8"/>
  <c r="AB6" i="8"/>
  <c r="AA6" i="8"/>
  <c r="Y6" i="8"/>
  <c r="J6" i="8"/>
  <c r="AC18" i="8"/>
  <c r="AA18" i="8"/>
  <c r="Y18" i="8"/>
  <c r="J18" i="8"/>
  <c r="AF7" i="8"/>
  <c r="AF8" i="8"/>
  <c r="AF9" i="8"/>
  <c r="AF12" i="8"/>
  <c r="AF17" i="8"/>
  <c r="AF21" i="8"/>
  <c r="AC5" i="8"/>
  <c r="AA5" i="8"/>
  <c r="J5" i="8"/>
  <c r="AB7" i="8"/>
  <c r="AC7" i="8"/>
  <c r="Y7" i="8"/>
  <c r="J7" i="8"/>
  <c r="AD15" i="8" l="1"/>
  <c r="AB13" i="8"/>
  <c r="Y13" i="8"/>
  <c r="AD13" i="8" s="1"/>
  <c r="Y14" i="8"/>
  <c r="AA84" i="8"/>
  <c r="AA83" i="8"/>
  <c r="AA71" i="8"/>
  <c r="W88" i="8"/>
  <c r="AB5" i="8"/>
  <c r="Y4" i="8"/>
  <c r="Y20" i="8"/>
  <c r="AA7" i="8"/>
  <c r="AA8" i="8"/>
  <c r="AA9" i="8"/>
  <c r="AA12" i="8"/>
  <c r="AA16" i="8"/>
  <c r="AA17" i="8"/>
  <c r="AA19" i="8"/>
  <c r="AA21" i="8"/>
  <c r="AA3" i="8"/>
  <c r="AB19" i="8"/>
  <c r="AC19" i="8"/>
  <c r="Y19" i="8"/>
  <c r="J19" i="8"/>
  <c r="AC3" i="8"/>
  <c r="AC8" i="8"/>
  <c r="AC9" i="8"/>
  <c r="AC12" i="8"/>
  <c r="AC16" i="8"/>
  <c r="AC17" i="8"/>
  <c r="AC21" i="8"/>
  <c r="AB8" i="8"/>
  <c r="AB9" i="8"/>
  <c r="AB12" i="8"/>
  <c r="AB16" i="8"/>
  <c r="AB17" i="8"/>
  <c r="AB21" i="8"/>
  <c r="AB3" i="8"/>
  <c r="J12" i="8"/>
  <c r="J9" i="8"/>
  <c r="Y9" i="8"/>
  <c r="Y21" i="8"/>
  <c r="J21" i="8"/>
  <c r="Y17" i="8"/>
  <c r="AD5" i="8" s="1"/>
  <c r="J17" i="8"/>
  <c r="Y16" i="8"/>
  <c r="J16" i="8"/>
  <c r="Y8" i="8"/>
  <c r="J8" i="8"/>
  <c r="Y3" i="8"/>
  <c r="J3" i="8"/>
  <c r="AD14" i="8" l="1"/>
  <c r="AD4" i="8"/>
  <c r="AD11" i="8"/>
  <c r="AD20" i="8"/>
  <c r="AD10" i="8"/>
  <c r="AD6" i="8"/>
  <c r="AD18" i="8"/>
  <c r="AD17" i="8"/>
  <c r="AD7" i="8"/>
  <c r="AD21" i="8"/>
  <c r="AD3" i="8"/>
  <c r="AD9" i="8"/>
  <c r="AD8" i="8"/>
  <c r="AD19" i="8"/>
  <c r="AD16" i="8"/>
  <c r="AD12" i="8"/>
</calcChain>
</file>

<file path=xl/sharedStrings.xml><?xml version="1.0" encoding="utf-8"?>
<sst xmlns="http://schemas.openxmlformats.org/spreadsheetml/2006/main" count="591" uniqueCount="168">
  <si>
    <t>Arch</t>
  </si>
  <si>
    <t>Time (H:m:s)</t>
  </si>
  <si>
    <t>Time (s)</t>
  </si>
  <si>
    <t>Energy(kW*h)</t>
  </si>
  <si>
    <t>CPU min (%)</t>
  </si>
  <si>
    <t>CPU max (%)</t>
  </si>
  <si>
    <t>Freq min (GHz)</t>
  </si>
  <si>
    <t>Freq max (GHz)</t>
  </si>
  <si>
    <t>RAM min (Gb)</t>
  </si>
  <si>
    <t>RAM max (Gb)</t>
  </si>
  <si>
    <t>Pow min (W)</t>
  </si>
  <si>
    <t>Pow max (W)</t>
  </si>
  <si>
    <t>CPU</t>
  </si>
  <si>
    <t>HT</t>
  </si>
  <si>
    <t>Machine</t>
  </si>
  <si>
    <t>Score/W</t>
  </si>
  <si>
    <t>HEP-Score</t>
  </si>
  <si>
    <t>Threads</t>
  </si>
  <si>
    <t>aarch64</t>
  </si>
  <si>
    <t>x86_64</t>
  </si>
  <si>
    <t>2*x86_64</t>
  </si>
  <si>
    <t>ARM80c</t>
  </si>
  <si>
    <t>ARM128c</t>
  </si>
  <si>
    <t>Power</t>
  </si>
  <si>
    <t>Score</t>
  </si>
  <si>
    <t>Ampere Altra Q80-30</t>
  </si>
  <si>
    <t>//</t>
  </si>
  <si>
    <t>2 * AMD EPYC 7513 32-Core Processor</t>
  </si>
  <si>
    <t>*</t>
  </si>
  <si>
    <t>2 * Ampere Altra Q80-30</t>
  </si>
  <si>
    <t>2xARM80c</t>
  </si>
  <si>
    <t>2*aarch64</t>
  </si>
  <si>
    <t>2 * AMD EPYC 9754 128-Core Processor</t>
  </si>
  <si>
    <t>AMD128ht</t>
  </si>
  <si>
    <t>Milano</t>
  </si>
  <si>
    <t>Siena</t>
  </si>
  <si>
    <t>Q80</t>
  </si>
  <si>
    <t>2*Milano</t>
  </si>
  <si>
    <t>2*Q80</t>
  </si>
  <si>
    <t>2*Bergamo</t>
  </si>
  <si>
    <t>Nickname</t>
  </si>
  <si>
    <t>Grace</t>
  </si>
  <si>
    <t>NVidia144c</t>
  </si>
  <si>
    <t>NVidia Grace 144-Core 480GB DDR5</t>
  </si>
  <si>
    <t>h17</t>
  </si>
  <si>
    <t>d22</t>
  </si>
  <si>
    <t>a23</t>
  </si>
  <si>
    <t>2 * AMD EPYC 7452 32-Core Processor</t>
  </si>
  <si>
    <t>FrqSet (GHz)</t>
  </si>
  <si>
    <t>2xIntel20ht</t>
  </si>
  <si>
    <t>2 * Intel XEON 10-Core CPU E5-2630 v4</t>
  </si>
  <si>
    <t>conservative</t>
  </si>
  <si>
    <t>nan</t>
  </si>
  <si>
    <t>amd-e22</t>
  </si>
  <si>
    <t>arm-e22</t>
  </si>
  <si>
    <t>&lt;idle&gt; (W)</t>
  </si>
  <si>
    <t>&lt;job&gt; (W)</t>
  </si>
  <si>
    <t>&lt;75-95%&gt; (W)</t>
  </si>
  <si>
    <t>(old) Score/W</t>
  </si>
  <si>
    <t>HEP-Score / &lt;75-95%&gt;</t>
  </si>
  <si>
    <t>HEP-Score / &lt;job&gt;</t>
  </si>
  <si>
    <t>Series</t>
  </si>
  <si>
    <t>d20,d21</t>
  </si>
  <si>
    <t>grace-x24</t>
  </si>
  <si>
    <t>Ampere Altra Max M128-28</t>
  </si>
  <si>
    <t>Ampere Altra Max M128-30</t>
  </si>
  <si>
    <t>Max30</t>
  </si>
  <si>
    <t>Max28</t>
  </si>
  <si>
    <t>m24</t>
  </si>
  <si>
    <t>2*Roma</t>
  </si>
  <si>
    <t>2*Xeon</t>
  </si>
  <si>
    <t>gpu-d22</t>
  </si>
  <si>
    <t>AMD EPYC 7643 48-Core Processor</t>
  </si>
  <si>
    <t>AMD EPYC 8534P 64-Core Processor</t>
  </si>
  <si>
    <t xml:space="preserve">2 * AMD EPYC 7443 24-Core Processor + 2* NVIDIA A100 PCIe 80GB </t>
  </si>
  <si>
    <t>2xAMD64ht_m</t>
  </si>
  <si>
    <t>ARM128c_2.8</t>
  </si>
  <si>
    <t>AMD96ht</t>
  </si>
  <si>
    <t>2*AMD48ht+GPU</t>
  </si>
  <si>
    <t>2 * AMD EPYC 9654 96-Core Processor</t>
  </si>
  <si>
    <t>2*Genoa</t>
  </si>
  <si>
    <t>2xAMD192ht</t>
  </si>
  <si>
    <t>AmperOne</t>
  </si>
  <si>
    <t>ARM192c</t>
  </si>
  <si>
    <t xml:space="preserve">AmperOne 192-Core </t>
  </si>
  <si>
    <t>2*Turin</t>
  </si>
  <si>
    <t>2 * AMD EPYC 9755 128-Core Processor</t>
  </si>
  <si>
    <t>2xAMD256ht_t</t>
  </si>
  <si>
    <t>2xAMD256ht_b</t>
  </si>
  <si>
    <t>2xAMD64ht_r</t>
  </si>
  <si>
    <t>2*Roma+GPU</t>
  </si>
  <si>
    <t>PoW Correction</t>
  </si>
  <si>
    <t>**</t>
  </si>
  <si>
    <t>!</t>
  </si>
  <si>
    <t>PDU-IPMI</t>
  </si>
  <si>
    <t>h16</t>
  </si>
  <si>
    <t>2xIntel16ht</t>
  </si>
  <si>
    <t>2 * Intel XEON 8-Core CPU E5-2630 v3</t>
  </si>
  <si>
    <t>2*Xeon8</t>
  </si>
  <si>
    <t>TDP (W)</t>
  </si>
  <si>
    <t>fitted &lt;W&gt;</t>
  </si>
  <si>
    <t>diff</t>
  </si>
  <si>
    <t>covariuance</t>
  </si>
  <si>
    <t>variance</t>
  </si>
  <si>
    <t>?</t>
  </si>
  <si>
    <t>2xAMDd256ht</t>
  </si>
  <si>
    <t>2xAMDd320ht</t>
  </si>
  <si>
    <t>2xAMDd384ht</t>
  </si>
  <si>
    <t>2 * AMD EPYC 9745 128-Core Processor</t>
  </si>
  <si>
    <t>2 * AMD EPYC 9845 160-Core Processor</t>
  </si>
  <si>
    <t>2 * AMD EPYC 9965 192-Core Processor</t>
  </si>
  <si>
    <t>2*Turin-D128</t>
  </si>
  <si>
    <t>2*Turin-D160</t>
  </si>
  <si>
    <t>2*Turin-D192</t>
  </si>
  <si>
    <t>2*TurinDense</t>
  </si>
  <si>
    <t>est</t>
  </si>
  <si>
    <t>RAM (Gb)</t>
  </si>
  <si>
    <t>Vendor</t>
  </si>
  <si>
    <t>HP</t>
  </si>
  <si>
    <t>DELL</t>
  </si>
  <si>
    <t>SuperMicro</t>
  </si>
  <si>
    <t>GIGABYTE</t>
  </si>
  <si>
    <t>FOXCONN / Ampere</t>
  </si>
  <si>
    <t>Supermicro</t>
  </si>
  <si>
    <t>Chassis</t>
  </si>
  <si>
    <t>Mt. Collins</t>
  </si>
  <si>
    <t>PowerEdge C6525</t>
  </si>
  <si>
    <t>ProLiant DL60 Gen9</t>
  </si>
  <si>
    <t>ARS-110M-NR</t>
  </si>
  <si>
    <t>R152-Z31-00</t>
  </si>
  <si>
    <t>PowerEdge R7525</t>
  </si>
  <si>
    <t>CPU(s)</t>
  </si>
  <si>
    <t>NickName</t>
  </si>
  <si>
    <t>Sockets</t>
  </si>
  <si>
    <t>RAM_GB</t>
  </si>
  <si>
    <t>Storage_Type</t>
  </si>
  <si>
    <t>Storage_TB</t>
  </si>
  <si>
    <t>hdd</t>
  </si>
  <si>
    <t>Price_min ($)</t>
  </si>
  <si>
    <t>Price_median ($)</t>
  </si>
  <si>
    <t>Price_max ($)</t>
  </si>
  <si>
    <t>ssd</t>
  </si>
  <si>
    <t>Ampere</t>
  </si>
  <si>
    <t>Frq (GHz)</t>
  </si>
  <si>
    <t>RAM used</t>
  </si>
  <si>
    <t>Storage Type</t>
  </si>
  <si>
    <t>CPU_med_kgCO2</t>
  </si>
  <si>
    <t>CPU_p10</t>
  </si>
  <si>
    <t>CPU_p90</t>
  </si>
  <si>
    <t>DRAM_med_kgCO2</t>
  </si>
  <si>
    <t>DRAM_p10</t>
  </si>
  <si>
    <t>DRAM_p90</t>
  </si>
  <si>
    <t>Motherboard_med_kgCO2</t>
  </si>
  <si>
    <t>Motherboard_p10</t>
  </si>
  <si>
    <t>Motherboard_p90</t>
  </si>
  <si>
    <t>PSU_med_kgCO2</t>
  </si>
  <si>
    <t>Chassis_med_kgCO2</t>
  </si>
  <si>
    <t>NIC_med_kgCO2</t>
  </si>
  <si>
    <t>Misc_med_kgCO2</t>
  </si>
  <si>
    <t>GPU_med_kgCO2</t>
  </si>
  <si>
    <t>Storage_med_kgCO2</t>
  </si>
  <si>
    <t>Total_med_kgCO2</t>
  </si>
  <si>
    <t>Total_p10</t>
  </si>
  <si>
    <t>Total_p90</t>
  </si>
  <si>
    <t>Estimated price ($)</t>
  </si>
  <si>
    <t>Total CO2e</t>
  </si>
  <si>
    <t>Details</t>
  </si>
  <si>
    <t>CO2e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</si>
</sst>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[$-F400]h:mm:ss\ AM/PM"/>
    <numFmt numFmtId="165" formatCode="0.0"/>
    <numFmt numFmtId="166" formatCode="#,##0.0000"/>
    <numFmt numFmtId="167" formatCode="#,##0.000"/>
    <numFmt numFmtId="168" formatCode="0.0%"/>
    <numFmt numFmtId="169" formatCode="#,##0.0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4"/>
      <name val="Calibri"/>
      <family val="2"/>
      <scheme val="minor"/>
    </font>
    <font>
      <i/>
      <sz val="11"/>
      <color rgb="FF00B050"/>
      <name val="Calibri"/>
      <family val="2"/>
      <scheme val="minor"/>
    </font>
    <font>
      <i/>
      <sz val="11"/>
      <color rgb="FF7030A0"/>
      <name val="Calibri"/>
      <family val="2"/>
      <scheme val="minor"/>
    </font>
    <font>
      <i/>
      <sz val="11"/>
      <color rgb="FF00B0F0"/>
      <name val="Calibri"/>
      <family val="2"/>
      <scheme val="minor"/>
    </font>
    <font>
      <i/>
      <sz val="11"/>
      <color theme="5"/>
      <name val="Calibri"/>
      <family val="2"/>
      <scheme val="minor"/>
    </font>
    <font>
      <i/>
      <sz val="11"/>
      <color rgb="FFFF00FF"/>
      <name val="Calibri"/>
      <family val="2"/>
      <scheme val="minor"/>
    </font>
    <font>
      <i/>
      <sz val="11"/>
      <color rgb="FFC00000"/>
      <name val="Calibri"/>
      <family val="2"/>
      <scheme val="minor"/>
    </font>
    <font>
      <i/>
      <sz val="11"/>
      <color theme="7" tint="-0.499984740745262"/>
      <name val="Calibri"/>
      <family val="2"/>
      <scheme val="minor"/>
    </font>
    <font>
      <i/>
      <sz val="11"/>
      <color theme="1" tint="0.499984740745262"/>
      <name val="Calibri"/>
      <family val="2"/>
      <scheme val="minor"/>
    </font>
    <font>
      <i/>
      <sz val="11"/>
      <color theme="9" tint="-0.499984740745262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i/>
      <sz val="11"/>
      <color rgb="FF0000FF"/>
      <name val="Calibri"/>
      <family val="2"/>
      <scheme val="minor"/>
    </font>
    <font>
      <i/>
      <sz val="11"/>
      <color rgb="FF003366"/>
      <name val="Calibri"/>
      <family val="2"/>
      <scheme val="minor"/>
    </font>
    <font>
      <i/>
      <sz val="11"/>
      <color rgb="FFFF99FF"/>
      <name val="Calibri"/>
      <family val="2"/>
      <scheme val="minor"/>
    </font>
    <font>
      <i/>
      <sz val="11"/>
      <color rgb="FF9900FF"/>
      <name val="Calibri"/>
      <family val="2"/>
      <scheme val="minor"/>
    </font>
    <font>
      <sz val="11"/>
      <color rgb="FF0000FF"/>
      <name val="Calibri"/>
      <family val="2"/>
      <scheme val="minor"/>
    </font>
    <font>
      <i/>
      <sz val="11"/>
      <color theme="3" tint="0.39997558519241921"/>
      <name val="Calibri"/>
      <family val="2"/>
      <scheme val="minor"/>
    </font>
    <font>
      <i/>
      <sz val="11"/>
      <color rgb="FF660033"/>
      <name val="Calibri"/>
      <family val="2"/>
      <scheme val="minor"/>
    </font>
    <font>
      <sz val="11"/>
      <color rgb="FF660033"/>
      <name val="Calibri"/>
      <family val="2"/>
      <scheme val="minor"/>
    </font>
    <font>
      <sz val="11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2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164" fontId="0" fillId="0" borderId="3" xfId="0" applyNumberFormat="1" applyBorder="1"/>
    <xf numFmtId="0" fontId="0" fillId="0" borderId="5" xfId="0" applyBorder="1"/>
    <xf numFmtId="0" fontId="0" fillId="0" borderId="6" xfId="0" applyBorder="1"/>
    <xf numFmtId="164" fontId="0" fillId="0" borderId="6" xfId="0" applyNumberFormat="1" applyBorder="1"/>
    <xf numFmtId="167" fontId="0" fillId="0" borderId="0" xfId="0" applyNumberFormat="1"/>
    <xf numFmtId="167" fontId="0" fillId="0" borderId="4" xfId="0" applyNumberFormat="1" applyBorder="1"/>
    <xf numFmtId="167" fontId="0" fillId="0" borderId="7" xfId="0" applyNumberFormat="1" applyBorder="1"/>
    <xf numFmtId="0" fontId="2" fillId="0" borderId="0" xfId="0" applyFont="1"/>
    <xf numFmtId="0" fontId="1" fillId="0" borderId="8" xfId="0" applyFont="1" applyBorder="1"/>
    <xf numFmtId="0" fontId="1" fillId="0" borderId="9" xfId="0" applyFont="1" applyBorder="1"/>
    <xf numFmtId="165" fontId="1" fillId="0" borderId="9" xfId="0" applyNumberFormat="1" applyFont="1" applyBorder="1"/>
    <xf numFmtId="1" fontId="1" fillId="0" borderId="9" xfId="0" applyNumberFormat="1" applyFont="1" applyBorder="1"/>
    <xf numFmtId="0" fontId="1" fillId="0" borderId="10" xfId="0" applyFont="1" applyBorder="1"/>
    <xf numFmtId="0" fontId="1" fillId="0" borderId="11" xfId="0" applyFont="1" applyBorder="1"/>
    <xf numFmtId="10" fontId="0" fillId="0" borderId="0" xfId="0" applyNumberFormat="1"/>
    <xf numFmtId="0" fontId="0" fillId="0" borderId="0" xfId="0" applyAlignment="1">
      <alignment horizontal="center"/>
    </xf>
    <xf numFmtId="168" fontId="0" fillId="0" borderId="0" xfId="0" applyNumberFormat="1"/>
    <xf numFmtId="0" fontId="0" fillId="0" borderId="12" xfId="0" applyBorder="1"/>
    <xf numFmtId="0" fontId="0" fillId="0" borderId="13" xfId="0" applyBorder="1"/>
    <xf numFmtId="164" fontId="0" fillId="0" borderId="13" xfId="0" applyNumberFormat="1" applyBorder="1"/>
    <xf numFmtId="0" fontId="3" fillId="0" borderId="13" xfId="0" applyFont="1" applyBorder="1"/>
    <xf numFmtId="167" fontId="0" fillId="0" borderId="14" xfId="0" applyNumberFormat="1" applyBorder="1"/>
    <xf numFmtId="167" fontId="0" fillId="0" borderId="13" xfId="0" applyNumberFormat="1" applyBorder="1"/>
    <xf numFmtId="167" fontId="3" fillId="0" borderId="13" xfId="0" applyNumberFormat="1" applyFont="1" applyBorder="1"/>
    <xf numFmtId="167" fontId="0" fillId="0" borderId="6" xfId="0" applyNumberFormat="1" applyBorder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0" fillId="0" borderId="15" xfId="0" applyBorder="1"/>
    <xf numFmtId="0" fontId="0" fillId="0" borderId="16" xfId="0" applyBorder="1"/>
    <xf numFmtId="167" fontId="0" fillId="0" borderId="16" xfId="0" applyNumberFormat="1" applyBorder="1"/>
    <xf numFmtId="0" fontId="13" fillId="0" borderId="0" xfId="0" applyFont="1"/>
    <xf numFmtId="0" fontId="0" fillId="0" borderId="17" xfId="0" applyBorder="1"/>
    <xf numFmtId="167" fontId="0" fillId="0" borderId="17" xfId="0" applyNumberFormat="1" applyBorder="1"/>
    <xf numFmtId="0" fontId="15" fillId="0" borderId="0" xfId="0" applyFont="1"/>
    <xf numFmtId="0" fontId="14" fillId="0" borderId="0" xfId="0" applyFont="1"/>
    <xf numFmtId="166" fontId="1" fillId="0" borderId="19" xfId="0" applyNumberFormat="1" applyFont="1" applyBorder="1"/>
    <xf numFmtId="166" fontId="1" fillId="0" borderId="1" xfId="0" applyNumberFormat="1" applyFont="1" applyBorder="1"/>
    <xf numFmtId="0" fontId="0" fillId="0" borderId="20" xfId="0" applyBorder="1"/>
    <xf numFmtId="3" fontId="0" fillId="0" borderId="13" xfId="0" applyNumberFormat="1" applyBorder="1"/>
    <xf numFmtId="3" fontId="0" fillId="0" borderId="17" xfId="0" applyNumberFormat="1" applyBorder="1"/>
    <xf numFmtId="3" fontId="3" fillId="0" borderId="13" xfId="0" applyNumberFormat="1" applyFont="1" applyBorder="1"/>
    <xf numFmtId="3" fontId="0" fillId="0" borderId="16" xfId="0" applyNumberFormat="1" applyBorder="1"/>
    <xf numFmtId="3" fontId="0" fillId="0" borderId="6" xfId="0" applyNumberFormat="1" applyBorder="1"/>
    <xf numFmtId="169" fontId="0" fillId="0" borderId="13" xfId="0" applyNumberFormat="1" applyBorder="1"/>
    <xf numFmtId="169" fontId="0" fillId="0" borderId="17" xfId="0" applyNumberFormat="1" applyBorder="1"/>
    <xf numFmtId="169" fontId="3" fillId="0" borderId="13" xfId="0" applyNumberFormat="1" applyFont="1" applyBorder="1"/>
    <xf numFmtId="169" fontId="0" fillId="0" borderId="6" xfId="0" applyNumberFormat="1" applyBorder="1"/>
    <xf numFmtId="3" fontId="16" fillId="0" borderId="13" xfId="0" applyNumberFormat="1" applyFont="1" applyBorder="1"/>
    <xf numFmtId="3" fontId="16" fillId="0" borderId="17" xfId="0" applyNumberFormat="1" applyFont="1" applyBorder="1"/>
    <xf numFmtId="3" fontId="16" fillId="0" borderId="16" xfId="0" applyNumberFormat="1" applyFont="1" applyBorder="1"/>
    <xf numFmtId="3" fontId="16" fillId="0" borderId="6" xfId="0" applyNumberFormat="1" applyFont="1" applyBorder="1"/>
    <xf numFmtId="1" fontId="0" fillId="0" borderId="0" xfId="0" applyNumberFormat="1"/>
    <xf numFmtId="167" fontId="0" fillId="0" borderId="18" xfId="0" applyNumberFormat="1" applyBorder="1"/>
    <xf numFmtId="167" fontId="0" fillId="0" borderId="21" xfId="0" applyNumberFormat="1" applyBorder="1"/>
    <xf numFmtId="167" fontId="0" fillId="0" borderId="22" xfId="0" applyNumberFormat="1" applyBorder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3" fontId="4" fillId="0" borderId="13" xfId="0" applyNumberFormat="1" applyFont="1" applyBorder="1"/>
    <xf numFmtId="0" fontId="0" fillId="0" borderId="0" xfId="0" quotePrefix="1"/>
    <xf numFmtId="4" fontId="0" fillId="0" borderId="0" xfId="0" applyNumberFormat="1"/>
    <xf numFmtId="3" fontId="21" fillId="0" borderId="13" xfId="0" applyNumberFormat="1" applyFont="1" applyBorder="1"/>
    <xf numFmtId="169" fontId="21" fillId="0" borderId="13" xfId="0" applyNumberFormat="1" applyFont="1" applyBorder="1"/>
    <xf numFmtId="3" fontId="21" fillId="0" borderId="16" xfId="0" applyNumberFormat="1" applyFont="1" applyBorder="1"/>
    <xf numFmtId="169" fontId="21" fillId="0" borderId="16" xfId="0" applyNumberFormat="1" applyFont="1" applyBorder="1"/>
    <xf numFmtId="0" fontId="0" fillId="0" borderId="23" xfId="0" applyBorder="1"/>
    <xf numFmtId="0" fontId="3" fillId="0" borderId="3" xfId="0" applyFont="1" applyBorder="1"/>
    <xf numFmtId="3" fontId="3" fillId="0" borderId="3" xfId="0" applyNumberFormat="1" applyFont="1" applyBorder="1"/>
    <xf numFmtId="169" fontId="3" fillId="0" borderId="3" xfId="0" applyNumberFormat="1" applyFont="1" applyBorder="1"/>
    <xf numFmtId="167" fontId="3" fillId="0" borderId="3" xfId="0" applyNumberFormat="1" applyFont="1" applyBorder="1"/>
    <xf numFmtId="0" fontId="22" fillId="0" borderId="0" xfId="0" applyFont="1"/>
    <xf numFmtId="3" fontId="3" fillId="0" borderId="6" xfId="0" applyNumberFormat="1" applyFont="1" applyBorder="1"/>
    <xf numFmtId="3" fontId="3" fillId="0" borderId="17" xfId="0" applyNumberFormat="1" applyFont="1" applyBorder="1"/>
    <xf numFmtId="3" fontId="3" fillId="0" borderId="16" xfId="0" applyNumberFormat="1" applyFont="1" applyBorder="1"/>
    <xf numFmtId="3" fontId="0" fillId="0" borderId="0" xfId="0" applyNumberFormat="1"/>
    <xf numFmtId="0" fontId="23" fillId="0" borderId="0" xfId="0" applyFont="1"/>
    <xf numFmtId="169" fontId="24" fillId="0" borderId="13" xfId="0" applyNumberFormat="1" applyFont="1" applyBorder="1"/>
    <xf numFmtId="0" fontId="0" fillId="0" borderId="24" xfId="0" applyBorder="1"/>
    <xf numFmtId="0" fontId="0" fillId="0" borderId="25" xfId="0" applyBorder="1"/>
    <xf numFmtId="0" fontId="14" fillId="0" borderId="2" xfId="0" applyFont="1" applyBorder="1"/>
    <xf numFmtId="0" fontId="22" fillId="0" borderId="12" xfId="0" applyFont="1" applyBorder="1"/>
    <xf numFmtId="0" fontId="6" fillId="0" borderId="12" xfId="0" applyFont="1" applyBorder="1"/>
    <xf numFmtId="0" fontId="17" fillId="0" borderId="12" xfId="0" applyFont="1" applyBorder="1"/>
    <xf numFmtId="0" fontId="15" fillId="0" borderId="12" xfId="0" applyFont="1" applyBorder="1"/>
    <xf numFmtId="0" fontId="7" fillId="0" borderId="12" xfId="0" applyFont="1" applyBorder="1"/>
    <xf numFmtId="0" fontId="8" fillId="0" borderId="12" xfId="0" applyFont="1" applyBorder="1"/>
    <xf numFmtId="0" fontId="18" fillId="0" borderId="12" xfId="0" applyFont="1" applyBorder="1"/>
    <xf numFmtId="0" fontId="20" fillId="0" borderId="12" xfId="0" applyFont="1" applyBorder="1"/>
    <xf numFmtId="0" fontId="9" fillId="0" borderId="12" xfId="0" applyFont="1" applyBorder="1"/>
    <xf numFmtId="0" fontId="23" fillId="0" borderId="12" xfId="0" applyFont="1" applyBorder="1"/>
    <xf numFmtId="0" fontId="10" fillId="0" borderId="12" xfId="0" applyFont="1" applyBorder="1"/>
    <xf numFmtId="0" fontId="12" fillId="0" borderId="12" xfId="0" applyFont="1" applyBorder="1"/>
    <xf numFmtId="0" fontId="13" fillId="0" borderId="12" xfId="0" applyFont="1" applyBorder="1"/>
    <xf numFmtId="0" fontId="19" fillId="0" borderId="12" xfId="0" applyFont="1" applyBorder="1"/>
    <xf numFmtId="0" fontId="11" fillId="0" borderId="5" xfId="0" applyFont="1" applyBorder="1"/>
    <xf numFmtId="3" fontId="0" fillId="0" borderId="12" xfId="0" applyNumberFormat="1" applyBorder="1"/>
    <xf numFmtId="3" fontId="0" fillId="0" borderId="14" xfId="0" applyNumberFormat="1" applyBorder="1"/>
    <xf numFmtId="3" fontId="0" fillId="0" borderId="5" xfId="0" applyNumberFormat="1" applyBorder="1"/>
    <xf numFmtId="3" fontId="0" fillId="0" borderId="7" xfId="0" applyNumberFormat="1" applyBorder="1"/>
    <xf numFmtId="3" fontId="0" fillId="0" borderId="26" xfId="0" applyNumberFormat="1" applyBorder="1"/>
    <xf numFmtId="3" fontId="0" fillId="0" borderId="27" xfId="0" applyNumberFormat="1" applyBorder="1"/>
    <xf numFmtId="0" fontId="1" fillId="0" borderId="28" xfId="0" applyFont="1" applyBorder="1"/>
    <xf numFmtId="165" fontId="1" fillId="2" borderId="29" xfId="0" applyNumberFormat="1" applyFont="1" applyFill="1" applyBorder="1"/>
    <xf numFmtId="0" fontId="3" fillId="2" borderId="29" xfId="0" applyFont="1" applyFill="1" applyBorder="1"/>
    <xf numFmtId="0" fontId="0" fillId="2" borderId="29" xfId="0" applyFill="1" applyBorder="1"/>
    <xf numFmtId="165" fontId="1" fillId="0" borderId="28" xfId="0" applyNumberFormat="1" applyFont="1" applyBorder="1"/>
    <xf numFmtId="0" fontId="25" fillId="0" borderId="3" xfId="0" applyFont="1" applyBorder="1"/>
    <xf numFmtId="0" fontId="25" fillId="0" borderId="13" xfId="0" applyFont="1" applyBorder="1"/>
    <xf numFmtId="0" fontId="25" fillId="0" borderId="17" xfId="0" applyFont="1" applyBorder="1"/>
    <xf numFmtId="0" fontId="25" fillId="0" borderId="16" xfId="0" applyFont="1" applyBorder="1"/>
    <xf numFmtId="0" fontId="25" fillId="0" borderId="6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  <color rgb="FF0000FF"/>
      <color rgb="FFCC3300"/>
      <color rgb="FFFF9900"/>
      <color rgb="FF9900FF"/>
      <color rgb="FF003366"/>
      <color rgb="FFFF99FF"/>
      <color rgb="FFFF00FF"/>
      <color rgb="FF003300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HEP-Score vs. Energy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ALL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circle"/>
              <c:size val="10"/>
              <c:spPr>
                <a:solidFill>
                  <a:schemeClr val="tx1">
                    <a:lumMod val="50000"/>
                    <a:lumOff val="5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C6DB-445A-AF10-BADF4566BCE8}"/>
              </c:ext>
            </c:extLst>
          </c:dPt>
          <c:dPt>
            <c:idx val="1"/>
            <c:marker>
              <c:symbol val="circle"/>
              <c:size val="10"/>
              <c:spPr>
                <a:solidFill>
                  <a:schemeClr val="tx2">
                    <a:lumMod val="60000"/>
                    <a:lumOff val="4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C6DB-445A-AF10-BADF4566BCE8}"/>
              </c:ext>
            </c:extLst>
          </c:dPt>
          <c:dPt>
            <c:idx val="3"/>
            <c:marker>
              <c:symbol val="circle"/>
              <c:size val="10"/>
              <c:spPr>
                <a:solidFill>
                  <a:srgbClr val="0000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C6DB-445A-AF10-BADF4566BCE8}"/>
              </c:ext>
            </c:extLst>
          </c:dPt>
          <c:dPt>
            <c:idx val="4"/>
            <c:marker>
              <c:symbol val="circle"/>
              <c:size val="10"/>
              <c:spPr>
                <a:solidFill>
                  <a:schemeClr val="accent6">
                    <a:lumMod val="5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C6DB-445A-AF10-BADF4566BCE8}"/>
              </c:ext>
            </c:extLst>
          </c:dPt>
          <c:dPt>
            <c:idx val="5"/>
            <c:marker>
              <c:symbol val="circle"/>
              <c:size val="10"/>
              <c:spPr>
                <a:solidFill>
                  <a:srgbClr val="00B05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47C7-4381-9F97-CBC50E95D2B9}"/>
              </c:ext>
            </c:extLst>
          </c:dPt>
          <c:dPt>
            <c:idx val="6"/>
            <c:marker>
              <c:symbol val="circle"/>
              <c:size val="10"/>
              <c:spPr>
                <a:solidFill>
                  <a:srgbClr val="7030A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2D7A-4736-9B3E-95F5661318E6}"/>
              </c:ext>
            </c:extLst>
          </c:dPt>
          <c:dPt>
            <c:idx val="8"/>
            <c:marker>
              <c:symbol val="circle"/>
              <c:size val="10"/>
              <c:spPr>
                <a:solidFill>
                  <a:srgbClr val="9900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D588-467F-B118-C39309B3F3F2}"/>
              </c:ext>
            </c:extLst>
          </c:dPt>
          <c:dPt>
            <c:idx val="9"/>
            <c:marker>
              <c:symbol val="circle"/>
              <c:size val="10"/>
              <c:spPr>
                <a:solidFill>
                  <a:srgbClr val="00B0F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4716-4E6D-86E3-11C33137F723}"/>
              </c:ext>
            </c:extLst>
          </c:dPt>
          <c:dPt>
            <c:idx val="13"/>
            <c:marker>
              <c:symbol val="circle"/>
              <c:size val="10"/>
              <c:spPr>
                <a:solidFill>
                  <a:srgbClr val="FF99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EC17-4472-8DF7-5085A2C98AC4}"/>
              </c:ext>
            </c:extLst>
          </c:dPt>
          <c:dPt>
            <c:idx val="14"/>
            <c:marker>
              <c:symbol val="circle"/>
              <c:size val="10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7E5A-463A-AE5B-D5BCD77B00C0}"/>
              </c:ext>
            </c:extLst>
          </c:dPt>
          <c:dPt>
            <c:idx val="15"/>
            <c:marker>
              <c:symbol val="circle"/>
              <c:size val="10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6F54-4C4A-8DF0-EC6A2A56AF2E}"/>
              </c:ext>
            </c:extLst>
          </c:dPt>
          <c:dPt>
            <c:idx val="16"/>
            <c:marker>
              <c:symbol val="circle"/>
              <c:size val="10"/>
              <c:spPr>
                <a:solidFill>
                  <a:schemeClr val="accent4">
                    <a:lumMod val="5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F-F5D7-4209-9ADB-ADD3FAF78248}"/>
              </c:ext>
            </c:extLst>
          </c:dPt>
          <c:dPt>
            <c:idx val="17"/>
            <c:marker>
              <c:symbol val="circle"/>
              <c:size val="10"/>
              <c:spPr>
                <a:solidFill>
                  <a:srgbClr val="FF99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0-F5D7-4209-9ADB-ADD3FAF78248}"/>
              </c:ext>
            </c:extLst>
          </c:dPt>
          <c:dPt>
            <c:idx val="18"/>
            <c:marker>
              <c:symbol val="circle"/>
              <c:size val="10"/>
              <c:spPr>
                <a:solidFill>
                  <a:srgbClr val="FF00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EC8F-462E-9518-B696AB1D5CBC}"/>
              </c:ext>
            </c:extLst>
          </c:dPt>
          <c:dLbls>
            <c:dLbl>
              <c:idx val="0"/>
              <c:layout>
                <c:manualLayout>
                  <c:x val="1.0582010582010581E-2"/>
                  <c:y val="2.8055409433631422E-2"/>
                </c:manualLayout>
              </c:layout>
              <c:tx>
                <c:rich>
                  <a:bodyPr/>
                  <a:lstStyle/>
                  <a:p>
                    <a:fld id="{933BE82F-A83E-42AA-8EB8-562A12D76C7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C6DB-445A-AF10-BADF4566BCE8}"/>
                </c:ext>
              </c:extLst>
            </c:dLbl>
            <c:dLbl>
              <c:idx val="1"/>
              <c:layout>
                <c:manualLayout>
                  <c:x val="-9.2992377553934354E-3"/>
                  <c:y val="8.76731544800982E-2"/>
                </c:manualLayout>
              </c:layout>
              <c:tx>
                <c:rich>
                  <a:bodyPr/>
                  <a:lstStyle/>
                  <a:p>
                    <a:fld id="{48FB500E-C27A-41D2-B10B-1ACB65479A3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C6DB-445A-AF10-BADF4566BCE8}"/>
                </c:ext>
              </c:extLst>
            </c:dLbl>
            <c:dLbl>
              <c:idx val="2"/>
              <c:layout>
                <c:manualLayout>
                  <c:x val="1.539138349146869E-3"/>
                  <c:y val="4.9332882363827379E-2"/>
                </c:manualLayout>
              </c:layout>
              <c:tx>
                <c:rich>
                  <a:bodyPr/>
                  <a:lstStyle/>
                  <a:p>
                    <a:fld id="{D8C0FFCC-7DA0-472D-B8C3-EB6F9EC5AFE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C6DB-445A-AF10-BADF4566BCE8}"/>
                </c:ext>
              </c:extLst>
            </c:dLbl>
            <c:dLbl>
              <c:idx val="3"/>
              <c:layout>
                <c:manualLayout>
                  <c:x val="1.9990498547513929E-2"/>
                  <c:y val="5.729051490710407E-3"/>
                </c:manualLayout>
              </c:layout>
              <c:tx>
                <c:rich>
                  <a:bodyPr/>
                  <a:lstStyle/>
                  <a:p>
                    <a:fld id="{61FE3E91-2554-46BD-B9FD-B141CA3434D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C6DB-445A-AF10-BADF4566BCE8}"/>
                </c:ext>
              </c:extLst>
            </c:dLbl>
            <c:dLbl>
              <c:idx val="4"/>
              <c:layout>
                <c:manualLayout>
                  <c:x val="5.2872432093094279E-3"/>
                  <c:y val="5.1006260392715268E-2"/>
                </c:manualLayout>
              </c:layout>
              <c:tx>
                <c:rich>
                  <a:bodyPr/>
                  <a:lstStyle/>
                  <a:p>
                    <a:fld id="{E26E614B-9DDA-4AFF-B138-1D56E22F851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C6DB-445A-AF10-BADF4566BCE8}"/>
                </c:ext>
              </c:extLst>
            </c:dLbl>
            <c:dLbl>
              <c:idx val="5"/>
              <c:layout>
                <c:manualLayout>
                  <c:x val="6.185518283630476E-3"/>
                  <c:y val="-6.5414625118650023E-3"/>
                </c:manualLayout>
              </c:layout>
              <c:tx>
                <c:rich>
                  <a:bodyPr/>
                  <a:lstStyle/>
                  <a:p>
                    <a:fld id="{8C0D28D9-2D8E-447E-B292-E180A0F3161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47C7-4381-9F97-CBC50E95D2B9}"/>
                </c:ext>
              </c:extLst>
            </c:dLbl>
            <c:dLbl>
              <c:idx val="6"/>
              <c:layout>
                <c:manualLayout>
                  <c:x val="-6.4775414865600497E-2"/>
                  <c:y val="9.1180080659302054E-2"/>
                </c:manualLayout>
              </c:layout>
              <c:tx>
                <c:rich>
                  <a:bodyPr/>
                  <a:lstStyle/>
                  <a:p>
                    <a:fld id="{CB653F08-2DE0-432F-AAA8-A3575E57B71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2D7A-4736-9B3E-95F5661318E6}"/>
                </c:ext>
              </c:extLst>
            </c:dLbl>
            <c:dLbl>
              <c:idx val="7"/>
              <c:layout>
                <c:manualLayout>
                  <c:x val="4.6496188776967177E-3"/>
                  <c:y val="-2.1041557075223597E-2"/>
                </c:manualLayout>
              </c:layout>
              <c:tx>
                <c:rich>
                  <a:bodyPr/>
                  <a:lstStyle/>
                  <a:p>
                    <a:fld id="{2D58E535-3E96-44B9-A953-981F9BEE877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6931-4664-BF7B-6DA22F506E1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7F72A272-AC8A-4F55-A52E-7AF7E72B7F4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D588-467F-B118-C39309B3F3F2}"/>
                </c:ext>
              </c:extLst>
            </c:dLbl>
            <c:dLbl>
              <c:idx val="9"/>
              <c:layout>
                <c:manualLayout>
                  <c:x val="-0.10198139664299963"/>
                  <c:y val="0.11198581765916807"/>
                </c:manualLayout>
              </c:layout>
              <c:tx>
                <c:rich>
                  <a:bodyPr/>
                  <a:lstStyle/>
                  <a:p>
                    <a:fld id="{01253054-A5AE-44F3-A9C8-4102DCE48DA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4716-4E6D-86E3-11C33137F72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2242-40FB-9E95-1EECCD3A103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180B-4134-9BC5-84A44EECA127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D508-44D1-B501-221C2559AB7F}"/>
                </c:ext>
              </c:extLst>
            </c:dLbl>
            <c:dLbl>
              <c:idx val="13"/>
              <c:layout>
                <c:manualLayout>
                  <c:x val="-9.3474426807760136E-2"/>
                  <c:y val="4.2083114150447132E-2"/>
                </c:manualLayout>
              </c:layout>
              <c:tx>
                <c:rich>
                  <a:bodyPr/>
                  <a:lstStyle/>
                  <a:p>
                    <a:fld id="{568FFF58-1684-4929-AD21-CF6D77878DA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EC17-4472-8DF7-5085A2C98AC4}"/>
                </c:ext>
              </c:extLst>
            </c:dLbl>
            <c:dLbl>
              <c:idx val="14"/>
              <c:layout>
                <c:manualLayout>
                  <c:x val="-8.5326194316822562E-2"/>
                  <c:y val="-7.7303905260888539E-2"/>
                </c:manualLayout>
              </c:layout>
              <c:tx>
                <c:rich>
                  <a:bodyPr/>
                  <a:lstStyle/>
                  <a:p>
                    <a:fld id="{321A6A5B-5A58-4FF5-B94C-B9457033F5F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7E5A-463A-AE5B-D5BCD77B00C0}"/>
                </c:ext>
              </c:extLst>
            </c:dLbl>
            <c:dLbl>
              <c:idx val="15"/>
              <c:layout>
                <c:manualLayout>
                  <c:x val="-4.6174150474406067E-3"/>
                  <c:y val="-7.0475546234039302E-2"/>
                </c:manualLayout>
              </c:layout>
              <c:tx>
                <c:rich>
                  <a:bodyPr/>
                  <a:lstStyle/>
                  <a:p>
                    <a:fld id="{653A7722-8422-49A7-8E64-2653A60188C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6F54-4C4A-8DF0-EC6A2A56AF2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74F0CA50-0672-4404-848B-174D69EC4F86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F5D7-4209-9ADB-ADD3FAF78248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8B1DC06A-4E27-463E-AA71-248421230EB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F5D7-4209-9ADB-ADD3FAF78248}"/>
                </c:ext>
              </c:extLst>
            </c:dLbl>
            <c:dLbl>
              <c:idx val="18"/>
              <c:layout>
                <c:manualLayout>
                  <c:x val="5.9323523166328867E-3"/>
                  <c:y val="-2.1041557075223632E-2"/>
                </c:manualLayout>
              </c:layout>
              <c:tx>
                <c:rich>
                  <a:bodyPr/>
                  <a:lstStyle/>
                  <a:p>
                    <a:fld id="{5C305BC0-3A33-40C6-AD8D-5A8BB5D439E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EC8F-462E-9518-B696AB1D5CB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HS23_Watt!$L$3:$L$21</c:f>
              <c:numCache>
                <c:formatCode>General</c:formatCode>
                <c:ptCount val="19"/>
                <c:pt idx="0">
                  <c:v>1.39381</c:v>
                </c:pt>
                <c:pt idx="1">
                  <c:v>1.26433</c:v>
                </c:pt>
                <c:pt idx="2">
                  <c:v>1.4515400000000001</c:v>
                </c:pt>
                <c:pt idx="3">
                  <c:v>2.3337300000000001</c:v>
                </c:pt>
                <c:pt idx="4">
                  <c:v>1.7848599999999999</c:v>
                </c:pt>
                <c:pt idx="5">
                  <c:v>1.7668299999999999</c:v>
                </c:pt>
                <c:pt idx="6">
                  <c:v>5.3327400000000003</c:v>
                </c:pt>
                <c:pt idx="7">
                  <c:v>4.0784000000000002</c:v>
                </c:pt>
                <c:pt idx="8">
                  <c:v>4.4656900000000004</c:v>
                </c:pt>
                <c:pt idx="9">
                  <c:v>1.23078</c:v>
                </c:pt>
                <c:pt idx="13">
                  <c:v>0.89617000000000002</c:v>
                </c:pt>
                <c:pt idx="14">
                  <c:v>1.1995899999999999</c:v>
                </c:pt>
                <c:pt idx="15">
                  <c:v>1.3809100000000001</c:v>
                </c:pt>
                <c:pt idx="16">
                  <c:v>1.49715</c:v>
                </c:pt>
                <c:pt idx="17">
                  <c:v>1.80318</c:v>
                </c:pt>
                <c:pt idx="18">
                  <c:v>1.99072</c:v>
                </c:pt>
              </c:numCache>
            </c:numRef>
          </c:xVal>
          <c:yVal>
            <c:numRef>
              <c:f>HS23_Watt!$X$3:$X$21</c:f>
              <c:numCache>
                <c:formatCode>#,##0.000</c:formatCode>
                <c:ptCount val="19"/>
                <c:pt idx="0">
                  <c:v>314.26179999999999</c:v>
                </c:pt>
                <c:pt idx="1">
                  <c:v>385.65280000000001</c:v>
                </c:pt>
                <c:pt idx="2">
                  <c:v>1356.1606999999999</c:v>
                </c:pt>
                <c:pt idx="3">
                  <c:v>1692.1967</c:v>
                </c:pt>
                <c:pt idx="4">
                  <c:v>1826.3467000000001</c:v>
                </c:pt>
                <c:pt idx="5">
                  <c:v>1887.2207000000001</c:v>
                </c:pt>
                <c:pt idx="6">
                  <c:v>7497.4875000000002</c:v>
                </c:pt>
                <c:pt idx="7">
                  <c:v>6932.2978999999996</c:v>
                </c:pt>
                <c:pt idx="8">
                  <c:v>10810.9141</c:v>
                </c:pt>
                <c:pt idx="9">
                  <c:v>1838.5244</c:v>
                </c:pt>
                <c:pt idx="10">
                  <c:v>10089</c:v>
                </c:pt>
                <c:pt idx="11">
                  <c:v>11034</c:v>
                </c:pt>
                <c:pt idx="12">
                  <c:v>14187</c:v>
                </c:pt>
                <c:pt idx="13">
                  <c:v>1512.5914</c:v>
                </c:pt>
                <c:pt idx="14">
                  <c:v>2068.0848999999998</c:v>
                </c:pt>
                <c:pt idx="15">
                  <c:v>2121.2939000000001</c:v>
                </c:pt>
                <c:pt idx="16">
                  <c:v>4205.4335000000001</c:v>
                </c:pt>
                <c:pt idx="17">
                  <c:v>3342.4965000000002</c:v>
                </c:pt>
                <c:pt idx="18">
                  <c:v>2520.5962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HS23_Watt!$C$3:$C$21</c15:f>
                <c15:dlblRangeCache>
                  <c:ptCount val="19"/>
                  <c:pt idx="0">
                    <c:v>2xIntel16ht</c:v>
                  </c:pt>
                  <c:pt idx="1">
                    <c:v>2xIntel20ht</c:v>
                  </c:pt>
                  <c:pt idx="2">
                    <c:v>AMD96ht</c:v>
                  </c:pt>
                  <c:pt idx="3">
                    <c:v>2*AMD48ht+GPU</c:v>
                  </c:pt>
                  <c:pt idx="4">
                    <c:v>2xAMD64ht_r</c:v>
                  </c:pt>
                  <c:pt idx="5">
                    <c:v>2xAMD64ht_m</c:v>
                  </c:pt>
                  <c:pt idx="6">
                    <c:v>2xAMD256ht_b</c:v>
                  </c:pt>
                  <c:pt idx="7">
                    <c:v>2xAMD192ht</c:v>
                  </c:pt>
                  <c:pt idx="8">
                    <c:v>2xAMD256ht_t</c:v>
                  </c:pt>
                  <c:pt idx="9">
                    <c:v>AMD128ht</c:v>
                  </c:pt>
                  <c:pt idx="10">
                    <c:v>2xAMDd256ht</c:v>
                  </c:pt>
                  <c:pt idx="11">
                    <c:v>2xAMDd320ht</c:v>
                  </c:pt>
                  <c:pt idx="12">
                    <c:v>2xAMDd384ht</c:v>
                  </c:pt>
                  <c:pt idx="13">
                    <c:v>ARM80c</c:v>
                  </c:pt>
                  <c:pt idx="14">
                    <c:v>ARM128c_2.8</c:v>
                  </c:pt>
                  <c:pt idx="15">
                    <c:v>ARM128c</c:v>
                  </c:pt>
                  <c:pt idx="16">
                    <c:v>NVidia144c</c:v>
                  </c:pt>
                  <c:pt idx="17">
                    <c:v>ARM192c</c:v>
                  </c:pt>
                  <c:pt idx="18">
                    <c:v>2xARM80c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0-C6DB-445A-AF10-BADF4566BC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7224240"/>
        <c:axId val="667224944"/>
      </c:scatterChart>
      <c:valAx>
        <c:axId val="667224240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kW*h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224944"/>
        <c:crosses val="autoZero"/>
        <c:crossBetween val="midCat"/>
        <c:minorUnit val="0.5"/>
      </c:valAx>
      <c:valAx>
        <c:axId val="66722494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HEP-Score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2242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&lt;power&gt;  vs.  TDP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HS23_Watt!$V$2</c:f>
              <c:strCache>
                <c:ptCount val="1"/>
                <c:pt idx="0">
                  <c:v>&lt;job&gt; (W)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dPt>
            <c:idx val="0"/>
            <c:marker>
              <c:spPr>
                <a:solidFill>
                  <a:schemeClr val="tx1">
                    <a:lumMod val="50000"/>
                    <a:lumOff val="5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2-2D1B-4920-9397-339423408561}"/>
              </c:ext>
            </c:extLst>
          </c:dPt>
          <c:dPt>
            <c:idx val="1"/>
            <c:marker>
              <c:spPr>
                <a:solidFill>
                  <a:schemeClr val="tx2">
                    <a:lumMod val="60000"/>
                    <a:lumOff val="4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3-2D1B-4920-9397-339423408561}"/>
              </c:ext>
            </c:extLst>
          </c:dPt>
          <c:dPt>
            <c:idx val="3"/>
            <c:marker>
              <c:spPr>
                <a:solidFill>
                  <a:srgbClr val="0000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4-2D1B-4920-9397-339423408561}"/>
              </c:ext>
            </c:extLst>
          </c:dPt>
          <c:dPt>
            <c:idx val="4"/>
            <c:marker>
              <c:spPr>
                <a:solidFill>
                  <a:schemeClr val="accent6">
                    <a:lumMod val="5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5-2D1B-4920-9397-339423408561}"/>
              </c:ext>
            </c:extLst>
          </c:dPt>
          <c:dPt>
            <c:idx val="5"/>
            <c:marker>
              <c:spPr>
                <a:solidFill>
                  <a:srgbClr val="00B05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6-2D1B-4920-9397-339423408561}"/>
              </c:ext>
            </c:extLst>
          </c:dPt>
          <c:dPt>
            <c:idx val="6"/>
            <c:marker>
              <c:spPr>
                <a:solidFill>
                  <a:srgbClr val="7030A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7-2D1B-4920-9397-339423408561}"/>
              </c:ext>
            </c:extLst>
          </c:dPt>
          <c:dPt>
            <c:idx val="8"/>
            <c:marker>
              <c:spPr>
                <a:solidFill>
                  <a:srgbClr val="9900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8-2D1B-4920-9397-339423408561}"/>
              </c:ext>
            </c:extLst>
          </c:dPt>
          <c:dPt>
            <c:idx val="9"/>
            <c:marker>
              <c:spPr>
                <a:solidFill>
                  <a:srgbClr val="00B0F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9-2D1B-4920-9397-339423408561}"/>
              </c:ext>
            </c:extLst>
          </c:dPt>
          <c:dPt>
            <c:idx val="10"/>
            <c:marker>
              <c:symbol val="circle"/>
              <c:size val="7"/>
              <c:spPr>
                <a:noFill/>
                <a:ln w="38100">
                  <a:solidFill>
                    <a:srgbClr val="C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A-2D1B-4920-9397-339423408561}"/>
              </c:ext>
            </c:extLst>
          </c:dPt>
          <c:dPt>
            <c:idx val="11"/>
            <c:marker>
              <c:symbol val="circle"/>
              <c:size val="7"/>
              <c:spPr>
                <a:noFill/>
                <a:ln w="38100">
                  <a:solidFill>
                    <a:srgbClr val="C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B-2D1B-4920-9397-339423408561}"/>
              </c:ext>
            </c:extLst>
          </c:dPt>
          <c:dPt>
            <c:idx val="12"/>
            <c:marker>
              <c:symbol val="circle"/>
              <c:size val="7"/>
              <c:spPr>
                <a:noFill/>
                <a:ln w="38100">
                  <a:solidFill>
                    <a:srgbClr val="C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C-2D1B-4920-9397-339423408561}"/>
              </c:ext>
            </c:extLst>
          </c:dPt>
          <c:dPt>
            <c:idx val="13"/>
            <c:marker>
              <c:spPr>
                <a:solidFill>
                  <a:srgbClr val="FF99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D-2D1B-4920-9397-339423408561}"/>
              </c:ext>
            </c:extLst>
          </c:dPt>
          <c:dPt>
            <c:idx val="14"/>
            <c:marker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E-2D1B-4920-9397-339423408561}"/>
              </c:ext>
            </c:extLst>
          </c:dPt>
          <c:dPt>
            <c:idx val="15"/>
            <c:marker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F-2D1B-4920-9397-339423408561}"/>
              </c:ext>
            </c:extLst>
          </c:dPt>
          <c:dPt>
            <c:idx val="16"/>
            <c:marker>
              <c:spPr>
                <a:solidFill>
                  <a:schemeClr val="accent4">
                    <a:lumMod val="5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BBCB-4232-8A9C-E2DB3C3B9D4E}"/>
              </c:ext>
            </c:extLst>
          </c:dPt>
          <c:dPt>
            <c:idx val="17"/>
            <c:marker>
              <c:spPr>
                <a:solidFill>
                  <a:srgbClr val="FF99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BBCB-4232-8A9C-E2DB3C3B9D4E}"/>
              </c:ext>
            </c:extLst>
          </c:dPt>
          <c:dPt>
            <c:idx val="18"/>
            <c:marker>
              <c:spPr>
                <a:solidFill>
                  <a:srgbClr val="FF00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BBCB-4232-8A9C-E2DB3C3B9D4E}"/>
              </c:ext>
            </c:extLst>
          </c:dPt>
          <c:dLbls>
            <c:dLbl>
              <c:idx val="0"/>
              <c:layout>
                <c:manualLayout>
                  <c:x val="-5.5104735471866909E-2"/>
                  <c:y val="6.0043320763090047E-2"/>
                </c:manualLayout>
              </c:layout>
              <c:tx>
                <c:rich>
                  <a:bodyPr/>
                  <a:lstStyle/>
                  <a:p>
                    <a:fld id="{54039099-11F1-45FD-9E9C-D5771726821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2-2D1B-4920-9397-339423408561}"/>
                </c:ext>
              </c:extLst>
            </c:dLbl>
            <c:dLbl>
              <c:idx val="1"/>
              <c:layout>
                <c:manualLayout>
                  <c:x val="-0.11312192349487811"/>
                  <c:y val="1.5659467010928432E-2"/>
                </c:manualLayout>
              </c:layout>
              <c:tx>
                <c:rich>
                  <a:bodyPr/>
                  <a:lstStyle/>
                  <a:p>
                    <a:fld id="{E3177258-E21E-45A4-B660-9F39174D6FA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3-2D1B-4920-9397-339423408561}"/>
                </c:ext>
              </c:extLst>
            </c:dLbl>
            <c:dLbl>
              <c:idx val="2"/>
              <c:layout>
                <c:manualLayout>
                  <c:x val="-0.10947728770558475"/>
                  <c:y val="-5.6492828890835657E-2"/>
                </c:manualLayout>
              </c:layout>
              <c:tx>
                <c:rich>
                  <a:bodyPr/>
                  <a:lstStyle/>
                  <a:p>
                    <a:fld id="{A9A293AE-3C5B-425D-80BC-EFCDFC72C2F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0-2D1B-4920-9397-339423408561}"/>
                </c:ext>
              </c:extLst>
            </c:dLbl>
            <c:dLbl>
              <c:idx val="3"/>
              <c:layout>
                <c:manualLayout>
                  <c:x val="2.9382960522851029E-3"/>
                  <c:y val="-4.0104675272206992E-2"/>
                </c:manualLayout>
              </c:layout>
              <c:tx>
                <c:rich>
                  <a:bodyPr/>
                  <a:lstStyle/>
                  <a:p>
                    <a:fld id="{BB98D422-8405-4B01-AF22-2E3C9F1A7F1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4-2D1B-4920-9397-339423408561}"/>
                </c:ext>
              </c:extLst>
            </c:dLbl>
            <c:dLbl>
              <c:idx val="4"/>
              <c:layout>
                <c:manualLayout>
                  <c:x val="-5.3689800792551985E-2"/>
                  <c:y val="4.8891547374954221E-2"/>
                </c:manualLayout>
              </c:layout>
              <c:tx>
                <c:rich>
                  <a:bodyPr/>
                  <a:lstStyle/>
                  <a:p>
                    <a:fld id="{EA1D85B9-E7D9-4462-87F3-C7B2E4B96B8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5-2D1B-4920-9397-339423408561}"/>
                </c:ext>
              </c:extLst>
            </c:dLbl>
            <c:dLbl>
              <c:idx val="5"/>
              <c:layout>
                <c:manualLayout>
                  <c:x val="-5.2745882445799176E-2"/>
                  <c:y val="5.9966130468866931E-2"/>
                </c:manualLayout>
              </c:layout>
              <c:tx>
                <c:rich>
                  <a:bodyPr/>
                  <a:lstStyle/>
                  <a:p>
                    <a:fld id="{CBF23A26-9C83-424E-9B1F-23270D7FDD6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6-2D1B-4920-9397-339423408561}"/>
                </c:ext>
              </c:extLst>
            </c:dLbl>
            <c:dLbl>
              <c:idx val="6"/>
              <c:layout>
                <c:manualLayout>
                  <c:x val="-2.4073490813648294E-2"/>
                  <c:y val="-8.0619901296574495E-2"/>
                </c:manualLayout>
              </c:layout>
              <c:tx>
                <c:rich>
                  <a:bodyPr/>
                  <a:lstStyle/>
                  <a:p>
                    <a:fld id="{FB7D685C-4E93-4892-B5E8-6E9FD56A263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7-2D1B-4920-9397-339423408561}"/>
                </c:ext>
              </c:extLst>
            </c:dLbl>
            <c:dLbl>
              <c:idx val="7"/>
              <c:layout>
                <c:manualLayout>
                  <c:x val="-0.11874769499966351"/>
                  <c:y val="2.7757575630000031E-2"/>
                </c:manualLayout>
              </c:layout>
              <c:tx>
                <c:rich>
                  <a:bodyPr/>
                  <a:lstStyle/>
                  <a:p>
                    <a:fld id="{43850884-5365-422D-B11A-7C1F1524C74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1-2D1B-4920-9397-339423408561}"/>
                </c:ext>
              </c:extLst>
            </c:dLbl>
            <c:dLbl>
              <c:idx val="8"/>
              <c:layout>
                <c:manualLayout>
                  <c:x val="3.4188034188034188E-3"/>
                  <c:y val="4.3441926748123132E-2"/>
                </c:manualLayout>
              </c:layout>
              <c:tx>
                <c:rich>
                  <a:bodyPr/>
                  <a:lstStyle/>
                  <a:p>
                    <a:fld id="{F35F1258-D2E2-4EB9-927F-3B8FA436548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8-2D1B-4920-9397-339423408561}"/>
                </c:ext>
              </c:extLst>
            </c:dLbl>
            <c:dLbl>
              <c:idx val="9"/>
              <c:layout>
                <c:manualLayout>
                  <c:x val="-9.6153196008119751E-2"/>
                  <c:y val="-2.5502626563299827E-2"/>
                </c:manualLayout>
              </c:layout>
              <c:tx>
                <c:rich>
                  <a:bodyPr/>
                  <a:lstStyle/>
                  <a:p>
                    <a:fld id="{9242755C-194D-48D0-A1A3-BA8845C45B1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9-2D1B-4920-9397-339423408561}"/>
                </c:ext>
              </c:extLst>
            </c:dLbl>
            <c:dLbl>
              <c:idx val="10"/>
              <c:layout>
                <c:manualLayout>
                  <c:x val="1.1974078342798207E-2"/>
                  <c:y val="2.6584860654510836E-2"/>
                </c:manualLayout>
              </c:layout>
              <c:tx>
                <c:rich>
                  <a:bodyPr/>
                  <a:lstStyle/>
                  <a:p>
                    <a:fld id="{FEC7E115-89DF-48C0-87A9-12039857758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A-2D1B-4920-9397-339423408561}"/>
                </c:ext>
              </c:extLst>
            </c:dLbl>
            <c:dLbl>
              <c:idx val="11"/>
              <c:layout>
                <c:manualLayout>
                  <c:x val="-7.3519628800877548E-2"/>
                  <c:y val="8.0311922054025875E-2"/>
                </c:manualLayout>
              </c:layout>
              <c:tx>
                <c:rich>
                  <a:bodyPr/>
                  <a:lstStyle/>
                  <a:p>
                    <a:fld id="{BEED2291-36A0-42B6-BE30-0F32A583F68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B-2D1B-4920-9397-339423408561}"/>
                </c:ext>
              </c:extLst>
            </c:dLbl>
            <c:dLbl>
              <c:idx val="12"/>
              <c:layout>
                <c:manualLayout>
                  <c:x val="-6.8419802835822718E-2"/>
                  <c:y val="-5.677149893608225E-2"/>
                </c:manualLayout>
              </c:layout>
              <c:tx>
                <c:rich>
                  <a:bodyPr/>
                  <a:lstStyle/>
                  <a:p>
                    <a:fld id="{965DC238-5490-403B-B5CA-267AB9C8609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C-2D1B-4920-9397-339423408561}"/>
                </c:ext>
              </c:extLst>
            </c:dLbl>
            <c:dLbl>
              <c:idx val="13"/>
              <c:layout>
                <c:manualLayout>
                  <c:x val="-3.2276000216045236E-2"/>
                  <c:y val="5.5528081044052373E-2"/>
                </c:manualLayout>
              </c:layout>
              <c:tx>
                <c:rich>
                  <a:bodyPr/>
                  <a:lstStyle/>
                  <a:p>
                    <a:fld id="{5B3EF9DF-4565-4665-A8F8-00021AB47E5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D-2D1B-4920-9397-339423408561}"/>
                </c:ext>
              </c:extLst>
            </c:dLbl>
            <c:dLbl>
              <c:idx val="14"/>
              <c:layout>
                <c:manualLayout>
                  <c:x val="7.2435765938959054E-3"/>
                  <c:y val="9.1637177357653254E-2"/>
                </c:manualLayout>
              </c:layout>
              <c:tx>
                <c:rich>
                  <a:bodyPr/>
                  <a:lstStyle/>
                  <a:p>
                    <a:fld id="{E4448E28-3132-4B4C-8CA0-6DC407142C6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E-2D1B-4920-9397-339423408561}"/>
                </c:ext>
              </c:extLst>
            </c:dLbl>
            <c:dLbl>
              <c:idx val="15"/>
              <c:layout>
                <c:manualLayout>
                  <c:x val="-2.4180499600572287E-2"/>
                  <c:y val="-5.5595589843746032E-2"/>
                </c:manualLayout>
              </c:layout>
              <c:tx>
                <c:rich>
                  <a:bodyPr/>
                  <a:lstStyle/>
                  <a:p>
                    <a:fld id="{631AEF0E-D49D-4391-AD3A-DD8601E4AC8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F-2D1B-4920-9397-339423408561}"/>
                </c:ext>
              </c:extLst>
            </c:dLbl>
            <c:dLbl>
              <c:idx val="16"/>
              <c:layout>
                <c:manualLayout>
                  <c:x val="9.8815105010241992E-3"/>
                  <c:y val="7.8451505132238752E-3"/>
                </c:manualLayout>
              </c:layout>
              <c:tx>
                <c:rich>
                  <a:bodyPr/>
                  <a:lstStyle/>
                  <a:p>
                    <a:fld id="{1ED89880-1A80-4736-98FB-DB02BE0C28E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BBCB-4232-8A9C-E2DB3C3B9D4E}"/>
                </c:ext>
              </c:extLst>
            </c:dLbl>
            <c:dLbl>
              <c:idx val="17"/>
              <c:layout>
                <c:manualLayout>
                  <c:x val="-6.53240523675339E-2"/>
                  <c:y val="-4.2942138155450262E-2"/>
                </c:manualLayout>
              </c:layout>
              <c:tx>
                <c:rich>
                  <a:bodyPr/>
                  <a:lstStyle/>
                  <a:p>
                    <a:fld id="{92F23839-C32B-4BDB-A753-FBF38B5FDD5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BBCB-4232-8A9C-E2DB3C3B9D4E}"/>
                </c:ext>
              </c:extLst>
            </c:dLbl>
            <c:dLbl>
              <c:idx val="18"/>
              <c:layout>
                <c:manualLayout>
                  <c:x val="8.9660120702480424E-3"/>
                  <c:y val="-4.7169811320754715E-3"/>
                </c:manualLayout>
              </c:layout>
              <c:tx>
                <c:rich>
                  <a:bodyPr/>
                  <a:lstStyle/>
                  <a:p>
                    <a:fld id="{1012B10F-84B0-4E53-95DA-B681B96ED05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BBCB-4232-8A9C-E2DB3C3B9D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name>fit</c:name>
            <c:spPr>
              <a:ln>
                <a:solidFill>
                  <a:schemeClr val="tx1">
                    <a:lumMod val="50000"/>
                    <a:lumOff val="50000"/>
                  </a:schemeClr>
                </a:solidFill>
                <a:prstDash val="dash"/>
              </a:ln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0.5613991278978574"/>
                  <c:y val="-9.5930407505393171E-3"/>
                </c:manualLayout>
              </c:layout>
              <c:numFmt formatCode="General" sourceLinked="0"/>
            </c:trendlineLbl>
          </c:trendline>
          <c:xVal>
            <c:numRef>
              <c:f>HS23_Watt!$E$3:$E$21</c:f>
              <c:numCache>
                <c:formatCode>General</c:formatCode>
                <c:ptCount val="19"/>
                <c:pt idx="0">
                  <c:v>170</c:v>
                </c:pt>
                <c:pt idx="1">
                  <c:v>170</c:v>
                </c:pt>
                <c:pt idx="2">
                  <c:v>225</c:v>
                </c:pt>
                <c:pt idx="3">
                  <c:v>400</c:v>
                </c:pt>
                <c:pt idx="4">
                  <c:v>310</c:v>
                </c:pt>
                <c:pt idx="5">
                  <c:v>400</c:v>
                </c:pt>
                <c:pt idx="6">
                  <c:v>720</c:v>
                </c:pt>
                <c:pt idx="7">
                  <c:v>680</c:v>
                </c:pt>
                <c:pt idx="8">
                  <c:v>1000</c:v>
                </c:pt>
                <c:pt idx="9">
                  <c:v>200</c:v>
                </c:pt>
                <c:pt idx="10">
                  <c:v>800</c:v>
                </c:pt>
                <c:pt idx="11">
                  <c:v>780</c:v>
                </c:pt>
                <c:pt idx="12">
                  <c:v>1000</c:v>
                </c:pt>
                <c:pt idx="13">
                  <c:v>210</c:v>
                </c:pt>
                <c:pt idx="14">
                  <c:v>230</c:v>
                </c:pt>
                <c:pt idx="15">
                  <c:v>250</c:v>
                </c:pt>
                <c:pt idx="16">
                  <c:v>500</c:v>
                </c:pt>
                <c:pt idx="17">
                  <c:v>400</c:v>
                </c:pt>
                <c:pt idx="18">
                  <c:v>420</c:v>
                </c:pt>
              </c:numCache>
            </c:numRef>
          </c:xVal>
          <c:yVal>
            <c:numRef>
              <c:f>HS23_Watt!$V$3:$V$21</c:f>
              <c:numCache>
                <c:formatCode>#,##0.0</c:formatCode>
                <c:ptCount val="19"/>
                <c:pt idx="0">
                  <c:v>180.7</c:v>
                </c:pt>
                <c:pt idx="1">
                  <c:v>184.38062015503877</c:v>
                </c:pt>
                <c:pt idx="2">
                  <c:v>368.56206896551726</c:v>
                </c:pt>
                <c:pt idx="3">
                  <c:v>692.3</c:v>
                </c:pt>
                <c:pt idx="4">
                  <c:v>350.6</c:v>
                </c:pt>
                <c:pt idx="5">
                  <c:v>449.7</c:v>
                </c:pt>
                <c:pt idx="6">
                  <c:v>1197.5999999999999</c:v>
                </c:pt>
                <c:pt idx="7">
                  <c:v>1162.4000000000001</c:v>
                </c:pt>
                <c:pt idx="8">
                  <c:v>1369.6</c:v>
                </c:pt>
                <c:pt idx="9">
                  <c:v>288.60000000000002</c:v>
                </c:pt>
                <c:pt idx="10">
                  <c:v>1136</c:v>
                </c:pt>
                <c:pt idx="11">
                  <c:v>1107.5999999999999</c:v>
                </c:pt>
                <c:pt idx="12">
                  <c:v>1420</c:v>
                </c:pt>
                <c:pt idx="13">
                  <c:v>264.73793103448276</c:v>
                </c:pt>
                <c:pt idx="14">
                  <c:v>289.10000000000002</c:v>
                </c:pt>
                <c:pt idx="15">
                  <c:v>358.71818181818179</c:v>
                </c:pt>
                <c:pt idx="16">
                  <c:v>612.95932203389827</c:v>
                </c:pt>
                <c:pt idx="17">
                  <c:v>466.84</c:v>
                </c:pt>
                <c:pt idx="18">
                  <c:v>426.4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HS23_Watt!$B$3:$B$21</c15:f>
                <c15:dlblRangeCache>
                  <c:ptCount val="19"/>
                  <c:pt idx="0">
                    <c:v>2*Xeon8</c:v>
                  </c:pt>
                  <c:pt idx="1">
                    <c:v>2*Xeon</c:v>
                  </c:pt>
                  <c:pt idx="2">
                    <c:v>Milano</c:v>
                  </c:pt>
                  <c:pt idx="3">
                    <c:v>2*Roma+GPU</c:v>
                  </c:pt>
                  <c:pt idx="4">
                    <c:v>2*Roma</c:v>
                  </c:pt>
                  <c:pt idx="5">
                    <c:v>2*Milano</c:v>
                  </c:pt>
                  <c:pt idx="6">
                    <c:v>2*Bergamo</c:v>
                  </c:pt>
                  <c:pt idx="7">
                    <c:v>2*Genoa</c:v>
                  </c:pt>
                  <c:pt idx="8">
                    <c:v>2*Turin</c:v>
                  </c:pt>
                  <c:pt idx="9">
                    <c:v>Siena</c:v>
                  </c:pt>
                  <c:pt idx="10">
                    <c:v>2*Turin-D128</c:v>
                  </c:pt>
                  <c:pt idx="11">
                    <c:v>2*Turin-D160</c:v>
                  </c:pt>
                  <c:pt idx="12">
                    <c:v>2*Turin-D192</c:v>
                  </c:pt>
                  <c:pt idx="13">
                    <c:v>Q80</c:v>
                  </c:pt>
                  <c:pt idx="14">
                    <c:v>Max28</c:v>
                  </c:pt>
                  <c:pt idx="15">
                    <c:v>Max30</c:v>
                  </c:pt>
                  <c:pt idx="16">
                    <c:v>Grace</c:v>
                  </c:pt>
                  <c:pt idx="17">
                    <c:v>AmperOne</c:v>
                  </c:pt>
                  <c:pt idx="18">
                    <c:v>2*Q80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2-2D1B-4920-9397-3394234085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7224240"/>
        <c:axId val="667224944"/>
      </c:scatterChart>
      <c:valAx>
        <c:axId val="667224240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TDP (W)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224944"/>
        <c:crosses val="autoZero"/>
        <c:crossBetween val="midCat"/>
      </c:valAx>
      <c:valAx>
        <c:axId val="667224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 &lt;power&gt; (W) 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224240"/>
        <c:crosses val="autoZero"/>
        <c:crossBetween val="midCat"/>
      </c:valAx>
    </c:plotArea>
    <c:plotVisOnly val="1"/>
    <c:dispBlanksAs val="gap"/>
    <c:showDLblsOverMax val="0"/>
    <c:extLst/>
  </c:chart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CO2e median estimate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ALL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12B-4373-A350-731B1377D78A}"/>
              </c:ext>
            </c:extLst>
          </c:dPt>
          <c:dPt>
            <c:idx val="1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12B-4373-A350-731B1377D78A}"/>
              </c:ext>
            </c:extLst>
          </c:dPt>
          <c:dPt>
            <c:idx val="3"/>
            <c:invertIfNegative val="0"/>
            <c:bubble3D val="0"/>
            <c:spPr>
              <a:solidFill>
                <a:srgbClr val="00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12B-4373-A350-731B1377D78A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12B-4373-A350-731B1377D78A}"/>
              </c:ext>
            </c:extLst>
          </c:dPt>
          <c:dPt>
            <c:idx val="5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112B-4373-A350-731B1377D78A}"/>
              </c:ext>
            </c:extLst>
          </c:dPt>
          <c:dPt>
            <c:idx val="6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112B-4373-A350-731B1377D78A}"/>
              </c:ext>
            </c:extLst>
          </c:dPt>
          <c:dPt>
            <c:idx val="8"/>
            <c:invertIfNegative val="0"/>
            <c:bubble3D val="0"/>
            <c:spPr>
              <a:solidFill>
                <a:srgbClr val="99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112B-4373-A350-731B1377D78A}"/>
              </c:ext>
            </c:extLst>
          </c:dPt>
          <c:dPt>
            <c:idx val="9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112B-4373-A350-731B1377D78A}"/>
              </c:ext>
            </c:extLst>
          </c:dPt>
          <c:dPt>
            <c:idx val="10"/>
            <c:invertIfNegative val="0"/>
            <c:bubble3D val="0"/>
            <c:spPr>
              <a:pattFill prst="narHorz">
                <a:fgClr>
                  <a:srgbClr val="660033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112B-4373-A350-731B1377D78A}"/>
              </c:ext>
            </c:extLst>
          </c:dPt>
          <c:dPt>
            <c:idx val="11"/>
            <c:invertIfNegative val="0"/>
            <c:bubble3D val="0"/>
            <c:spPr>
              <a:pattFill prst="dkDnDiag">
                <a:fgClr>
                  <a:srgbClr val="660033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112B-4373-A350-731B1377D78A}"/>
              </c:ext>
            </c:extLst>
          </c:dPt>
          <c:dPt>
            <c:idx val="12"/>
            <c:invertIfNegative val="0"/>
            <c:bubble3D val="0"/>
            <c:spPr>
              <a:pattFill prst="dkUpDiag">
                <a:fgClr>
                  <a:srgbClr val="660033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112B-4373-A350-731B1377D78A}"/>
              </c:ext>
            </c:extLst>
          </c:dPt>
          <c:dPt>
            <c:idx val="13"/>
            <c:invertIfNegative val="0"/>
            <c:bubble3D val="0"/>
            <c:spPr>
              <a:solidFill>
                <a:srgbClr val="FF99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112B-4373-A350-731B1377D78A}"/>
              </c:ext>
            </c:extLst>
          </c:dPt>
          <c:dPt>
            <c:idx val="1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112B-4373-A350-731B1377D78A}"/>
              </c:ext>
            </c:extLst>
          </c:dPt>
          <c:dPt>
            <c:idx val="1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112B-4373-A350-731B1377D78A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4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112B-4373-A350-731B1377D78A}"/>
              </c:ext>
            </c:extLst>
          </c:dPt>
          <c:dPt>
            <c:idx val="17"/>
            <c:invertIfNegative val="0"/>
            <c:bubble3D val="0"/>
            <c:spPr>
              <a:solidFill>
                <a:srgbClr val="FF99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112B-4373-A350-731B1377D78A}"/>
              </c:ext>
            </c:extLst>
          </c:dPt>
          <c:dPt>
            <c:idx val="18"/>
            <c:invertIfNegative val="0"/>
            <c:bubble3D val="0"/>
            <c:spPr>
              <a:solidFill>
                <a:srgbClr val="FF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112B-4373-A350-731B1377D78A}"/>
              </c:ext>
            </c:extLst>
          </c:dPt>
          <c:cat>
            <c:strRef>
              <c:f>HS23_Watt!$B$3:$B$21</c:f>
              <c:strCache>
                <c:ptCount val="19"/>
                <c:pt idx="0">
                  <c:v>2*Xeon8</c:v>
                </c:pt>
                <c:pt idx="1">
                  <c:v>2*Xeon</c:v>
                </c:pt>
                <c:pt idx="2">
                  <c:v>Milano</c:v>
                </c:pt>
                <c:pt idx="3">
                  <c:v>2*Roma+GPU</c:v>
                </c:pt>
                <c:pt idx="4">
                  <c:v>2*Roma</c:v>
                </c:pt>
                <c:pt idx="5">
                  <c:v>2*Milano</c:v>
                </c:pt>
                <c:pt idx="6">
                  <c:v>2*Bergamo</c:v>
                </c:pt>
                <c:pt idx="7">
                  <c:v>2*Genoa</c:v>
                </c:pt>
                <c:pt idx="8">
                  <c:v>2*Turin</c:v>
                </c:pt>
                <c:pt idx="9">
                  <c:v>Siena</c:v>
                </c:pt>
                <c:pt idx="10">
                  <c:v>2*Turin-D128</c:v>
                </c:pt>
                <c:pt idx="11">
                  <c:v>2*Turin-D160</c:v>
                </c:pt>
                <c:pt idx="12">
                  <c:v>2*Turin-D192</c:v>
                </c:pt>
                <c:pt idx="13">
                  <c:v>Q80</c:v>
                </c:pt>
                <c:pt idx="14">
                  <c:v>Max28</c:v>
                </c:pt>
                <c:pt idx="15">
                  <c:v>Max30</c:v>
                </c:pt>
                <c:pt idx="16">
                  <c:v>Grace</c:v>
                </c:pt>
                <c:pt idx="17">
                  <c:v>AmperOne</c:v>
                </c:pt>
                <c:pt idx="18">
                  <c:v>2*Q80</c:v>
                </c:pt>
              </c:strCache>
            </c:strRef>
          </c:cat>
          <c:val>
            <c:numRef>
              <c:f>CO2e_updated!$AF$3:$AF$21</c:f>
              <c:numCache>
                <c:formatCode>General</c:formatCode>
                <c:ptCount val="19"/>
                <c:pt idx="0">
                  <c:v>334.2</c:v>
                </c:pt>
                <c:pt idx="1">
                  <c:v>339</c:v>
                </c:pt>
                <c:pt idx="2">
                  <c:v>373.1</c:v>
                </c:pt>
                <c:pt idx="3">
                  <c:v>1936.8</c:v>
                </c:pt>
                <c:pt idx="4">
                  <c:v>444.3</c:v>
                </c:pt>
                <c:pt idx="5">
                  <c:v>444.5</c:v>
                </c:pt>
                <c:pt idx="6">
                  <c:v>778.6</c:v>
                </c:pt>
                <c:pt idx="7">
                  <c:v>701.6</c:v>
                </c:pt>
                <c:pt idx="8">
                  <c:v>781.2</c:v>
                </c:pt>
                <c:pt idx="9">
                  <c:v>392.6</c:v>
                </c:pt>
                <c:pt idx="10">
                  <c:v>832.6</c:v>
                </c:pt>
                <c:pt idx="11">
                  <c:v>911.4</c:v>
                </c:pt>
                <c:pt idx="12">
                  <c:v>987.3</c:v>
                </c:pt>
                <c:pt idx="13">
                  <c:v>363.7</c:v>
                </c:pt>
                <c:pt idx="14">
                  <c:v>391.6</c:v>
                </c:pt>
                <c:pt idx="15">
                  <c:v>391.6</c:v>
                </c:pt>
                <c:pt idx="16">
                  <c:v>440.3</c:v>
                </c:pt>
                <c:pt idx="17">
                  <c:v>430.1</c:v>
                </c:pt>
                <c:pt idx="18">
                  <c:v>463.2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12B-4373-A350-731B1377D7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689898320"/>
        <c:axId val="689900080"/>
      </c:barChart>
      <c:catAx>
        <c:axId val="68989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900080"/>
        <c:crosses val="autoZero"/>
        <c:auto val="1"/>
        <c:lblAlgn val="ctr"/>
        <c:lblOffset val="100"/>
        <c:noMultiLvlLbl val="0"/>
      </c:catAx>
      <c:valAx>
        <c:axId val="689900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CO2e (Kg)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89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CO2e median (CPU)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ALL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2BF-4CF5-9D49-CE6937670629}"/>
              </c:ext>
            </c:extLst>
          </c:dPt>
          <c:dPt>
            <c:idx val="1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2BF-4CF5-9D49-CE6937670629}"/>
              </c:ext>
            </c:extLst>
          </c:dPt>
          <c:dPt>
            <c:idx val="3"/>
            <c:invertIfNegative val="0"/>
            <c:bubble3D val="0"/>
            <c:spPr>
              <a:solidFill>
                <a:srgbClr val="00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2BF-4CF5-9D49-CE6937670629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2BF-4CF5-9D49-CE6937670629}"/>
              </c:ext>
            </c:extLst>
          </c:dPt>
          <c:dPt>
            <c:idx val="5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12BF-4CF5-9D49-CE6937670629}"/>
              </c:ext>
            </c:extLst>
          </c:dPt>
          <c:dPt>
            <c:idx val="6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12BF-4CF5-9D49-CE6937670629}"/>
              </c:ext>
            </c:extLst>
          </c:dPt>
          <c:dPt>
            <c:idx val="8"/>
            <c:invertIfNegative val="0"/>
            <c:bubble3D val="0"/>
            <c:spPr>
              <a:solidFill>
                <a:srgbClr val="99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12BF-4CF5-9D49-CE6937670629}"/>
              </c:ext>
            </c:extLst>
          </c:dPt>
          <c:dPt>
            <c:idx val="9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12BF-4CF5-9D49-CE6937670629}"/>
              </c:ext>
            </c:extLst>
          </c:dPt>
          <c:dPt>
            <c:idx val="10"/>
            <c:invertIfNegative val="0"/>
            <c:bubble3D val="0"/>
            <c:spPr>
              <a:pattFill prst="narHorz">
                <a:fgClr>
                  <a:srgbClr val="660033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12BF-4CF5-9D49-CE6937670629}"/>
              </c:ext>
            </c:extLst>
          </c:dPt>
          <c:dPt>
            <c:idx val="11"/>
            <c:invertIfNegative val="0"/>
            <c:bubble3D val="0"/>
            <c:spPr>
              <a:pattFill prst="dkDnDiag">
                <a:fgClr>
                  <a:srgbClr val="660033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12BF-4CF5-9D49-CE6937670629}"/>
              </c:ext>
            </c:extLst>
          </c:dPt>
          <c:dPt>
            <c:idx val="12"/>
            <c:invertIfNegative val="0"/>
            <c:bubble3D val="0"/>
            <c:spPr>
              <a:pattFill prst="dkUpDiag">
                <a:fgClr>
                  <a:srgbClr val="660033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12BF-4CF5-9D49-CE6937670629}"/>
              </c:ext>
            </c:extLst>
          </c:dPt>
          <c:dPt>
            <c:idx val="13"/>
            <c:invertIfNegative val="0"/>
            <c:bubble3D val="0"/>
            <c:spPr>
              <a:solidFill>
                <a:srgbClr val="FF99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12BF-4CF5-9D49-CE6937670629}"/>
              </c:ext>
            </c:extLst>
          </c:dPt>
          <c:dPt>
            <c:idx val="1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12BF-4CF5-9D49-CE6937670629}"/>
              </c:ext>
            </c:extLst>
          </c:dPt>
          <c:dPt>
            <c:idx val="1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12BF-4CF5-9D49-CE6937670629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4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12BF-4CF5-9D49-CE6937670629}"/>
              </c:ext>
            </c:extLst>
          </c:dPt>
          <c:dPt>
            <c:idx val="17"/>
            <c:invertIfNegative val="0"/>
            <c:bubble3D val="0"/>
            <c:spPr>
              <a:solidFill>
                <a:srgbClr val="FF99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12BF-4CF5-9D49-CE6937670629}"/>
              </c:ext>
            </c:extLst>
          </c:dPt>
          <c:dPt>
            <c:idx val="18"/>
            <c:invertIfNegative val="0"/>
            <c:bubble3D val="0"/>
            <c:spPr>
              <a:solidFill>
                <a:srgbClr val="FF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12BF-4CF5-9D49-CE6937670629}"/>
              </c:ext>
            </c:extLst>
          </c:dPt>
          <c:cat>
            <c:strRef>
              <c:f>HS23_Watt!$B$3:$B$21</c:f>
              <c:strCache>
                <c:ptCount val="19"/>
                <c:pt idx="0">
                  <c:v>2*Xeon8</c:v>
                </c:pt>
                <c:pt idx="1">
                  <c:v>2*Xeon</c:v>
                </c:pt>
                <c:pt idx="2">
                  <c:v>Milano</c:v>
                </c:pt>
                <c:pt idx="3">
                  <c:v>2*Roma+GPU</c:v>
                </c:pt>
                <c:pt idx="4">
                  <c:v>2*Roma</c:v>
                </c:pt>
                <c:pt idx="5">
                  <c:v>2*Milano</c:v>
                </c:pt>
                <c:pt idx="6">
                  <c:v>2*Bergamo</c:v>
                </c:pt>
                <c:pt idx="7">
                  <c:v>2*Genoa</c:v>
                </c:pt>
                <c:pt idx="8">
                  <c:v>2*Turin</c:v>
                </c:pt>
                <c:pt idx="9">
                  <c:v>Siena</c:v>
                </c:pt>
                <c:pt idx="10">
                  <c:v>2*Turin-D128</c:v>
                </c:pt>
                <c:pt idx="11">
                  <c:v>2*Turin-D160</c:v>
                </c:pt>
                <c:pt idx="12">
                  <c:v>2*Turin-D192</c:v>
                </c:pt>
                <c:pt idx="13">
                  <c:v>Q80</c:v>
                </c:pt>
                <c:pt idx="14">
                  <c:v>Max28</c:v>
                </c:pt>
                <c:pt idx="15">
                  <c:v>Max30</c:v>
                </c:pt>
                <c:pt idx="16">
                  <c:v>Grace</c:v>
                </c:pt>
                <c:pt idx="17">
                  <c:v>AmperOne</c:v>
                </c:pt>
                <c:pt idx="18">
                  <c:v>2*Q80</c:v>
                </c:pt>
              </c:strCache>
            </c:strRef>
          </c:cat>
          <c:val>
            <c:numRef>
              <c:f>CO2e_updated!$Q$3:$Q$21</c:f>
              <c:numCache>
                <c:formatCode>General</c:formatCode>
                <c:ptCount val="19"/>
                <c:pt idx="0">
                  <c:v>102.2</c:v>
                </c:pt>
                <c:pt idx="1">
                  <c:v>102</c:v>
                </c:pt>
                <c:pt idx="2">
                  <c:v>49.4</c:v>
                </c:pt>
                <c:pt idx="3">
                  <c:v>102.7</c:v>
                </c:pt>
                <c:pt idx="4">
                  <c:v>102.2</c:v>
                </c:pt>
                <c:pt idx="5">
                  <c:v>102.4</c:v>
                </c:pt>
                <c:pt idx="6">
                  <c:v>101.9</c:v>
                </c:pt>
                <c:pt idx="7">
                  <c:v>102.2</c:v>
                </c:pt>
                <c:pt idx="8">
                  <c:v>102</c:v>
                </c:pt>
                <c:pt idx="9">
                  <c:v>49.9</c:v>
                </c:pt>
                <c:pt idx="10">
                  <c:v>102.3</c:v>
                </c:pt>
                <c:pt idx="11">
                  <c:v>102.2</c:v>
                </c:pt>
                <c:pt idx="12">
                  <c:v>102.3</c:v>
                </c:pt>
                <c:pt idx="13">
                  <c:v>49.7</c:v>
                </c:pt>
                <c:pt idx="14">
                  <c:v>49.5</c:v>
                </c:pt>
                <c:pt idx="15">
                  <c:v>49.4</c:v>
                </c:pt>
                <c:pt idx="16">
                  <c:v>87.5</c:v>
                </c:pt>
                <c:pt idx="17">
                  <c:v>49.4</c:v>
                </c:pt>
                <c:pt idx="18">
                  <c:v>102.1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2BF-4CF5-9D49-CE69376706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689898320"/>
        <c:axId val="689900080"/>
      </c:barChart>
      <c:catAx>
        <c:axId val="68989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900080"/>
        <c:crosses val="autoZero"/>
        <c:auto val="1"/>
        <c:lblAlgn val="ctr"/>
        <c:lblOffset val="100"/>
        <c:noMultiLvlLbl val="0"/>
      </c:catAx>
      <c:valAx>
        <c:axId val="689900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CO2e (Kg)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89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CO2e median (RAM)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ALL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F3D-4CFF-A2D6-27FB2EEEFDC9}"/>
              </c:ext>
            </c:extLst>
          </c:dPt>
          <c:dPt>
            <c:idx val="1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F3D-4CFF-A2D6-27FB2EEEFDC9}"/>
              </c:ext>
            </c:extLst>
          </c:dPt>
          <c:dPt>
            <c:idx val="3"/>
            <c:invertIfNegative val="0"/>
            <c:bubble3D val="0"/>
            <c:spPr>
              <a:solidFill>
                <a:srgbClr val="00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F3D-4CFF-A2D6-27FB2EEEFDC9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F3D-4CFF-A2D6-27FB2EEEFDC9}"/>
              </c:ext>
            </c:extLst>
          </c:dPt>
          <c:dPt>
            <c:idx val="5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FF3D-4CFF-A2D6-27FB2EEEFDC9}"/>
              </c:ext>
            </c:extLst>
          </c:dPt>
          <c:dPt>
            <c:idx val="6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FF3D-4CFF-A2D6-27FB2EEEFDC9}"/>
              </c:ext>
            </c:extLst>
          </c:dPt>
          <c:dPt>
            <c:idx val="8"/>
            <c:invertIfNegative val="0"/>
            <c:bubble3D val="0"/>
            <c:spPr>
              <a:solidFill>
                <a:srgbClr val="99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FF3D-4CFF-A2D6-27FB2EEEFDC9}"/>
              </c:ext>
            </c:extLst>
          </c:dPt>
          <c:dPt>
            <c:idx val="9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FF3D-4CFF-A2D6-27FB2EEEFDC9}"/>
              </c:ext>
            </c:extLst>
          </c:dPt>
          <c:dPt>
            <c:idx val="10"/>
            <c:invertIfNegative val="0"/>
            <c:bubble3D val="0"/>
            <c:spPr>
              <a:pattFill prst="narHorz">
                <a:fgClr>
                  <a:srgbClr val="660033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FF3D-4CFF-A2D6-27FB2EEEFDC9}"/>
              </c:ext>
            </c:extLst>
          </c:dPt>
          <c:dPt>
            <c:idx val="11"/>
            <c:invertIfNegative val="0"/>
            <c:bubble3D val="0"/>
            <c:spPr>
              <a:pattFill prst="dkDnDiag">
                <a:fgClr>
                  <a:srgbClr val="660033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FF3D-4CFF-A2D6-27FB2EEEFDC9}"/>
              </c:ext>
            </c:extLst>
          </c:dPt>
          <c:dPt>
            <c:idx val="12"/>
            <c:invertIfNegative val="0"/>
            <c:bubble3D val="0"/>
            <c:spPr>
              <a:pattFill prst="dkUpDiag">
                <a:fgClr>
                  <a:srgbClr val="660033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FF3D-4CFF-A2D6-27FB2EEEFDC9}"/>
              </c:ext>
            </c:extLst>
          </c:dPt>
          <c:dPt>
            <c:idx val="13"/>
            <c:invertIfNegative val="0"/>
            <c:bubble3D val="0"/>
            <c:spPr>
              <a:solidFill>
                <a:srgbClr val="FF99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FF3D-4CFF-A2D6-27FB2EEEFDC9}"/>
              </c:ext>
            </c:extLst>
          </c:dPt>
          <c:dPt>
            <c:idx val="1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FF3D-4CFF-A2D6-27FB2EEEFDC9}"/>
              </c:ext>
            </c:extLst>
          </c:dPt>
          <c:dPt>
            <c:idx val="1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FF3D-4CFF-A2D6-27FB2EEEFDC9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4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FF3D-4CFF-A2D6-27FB2EEEFDC9}"/>
              </c:ext>
            </c:extLst>
          </c:dPt>
          <c:dPt>
            <c:idx val="17"/>
            <c:invertIfNegative val="0"/>
            <c:bubble3D val="0"/>
            <c:spPr>
              <a:solidFill>
                <a:srgbClr val="FF99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FF3D-4CFF-A2D6-27FB2EEEFDC9}"/>
              </c:ext>
            </c:extLst>
          </c:dPt>
          <c:dPt>
            <c:idx val="18"/>
            <c:invertIfNegative val="0"/>
            <c:bubble3D val="0"/>
            <c:spPr>
              <a:solidFill>
                <a:srgbClr val="FF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FF3D-4CFF-A2D6-27FB2EEEFDC9}"/>
              </c:ext>
            </c:extLst>
          </c:dPt>
          <c:cat>
            <c:strRef>
              <c:f>HS23_Watt!$B$3:$B$21</c:f>
              <c:strCache>
                <c:ptCount val="19"/>
                <c:pt idx="0">
                  <c:v>2*Xeon8</c:v>
                </c:pt>
                <c:pt idx="1">
                  <c:v>2*Xeon</c:v>
                </c:pt>
                <c:pt idx="2">
                  <c:v>Milano</c:v>
                </c:pt>
                <c:pt idx="3">
                  <c:v>2*Roma+GPU</c:v>
                </c:pt>
                <c:pt idx="4">
                  <c:v>2*Roma</c:v>
                </c:pt>
                <c:pt idx="5">
                  <c:v>2*Milano</c:v>
                </c:pt>
                <c:pt idx="6">
                  <c:v>2*Bergamo</c:v>
                </c:pt>
                <c:pt idx="7">
                  <c:v>2*Genoa</c:v>
                </c:pt>
                <c:pt idx="8">
                  <c:v>2*Turin</c:v>
                </c:pt>
                <c:pt idx="9">
                  <c:v>Siena</c:v>
                </c:pt>
                <c:pt idx="10">
                  <c:v>2*Turin-D128</c:v>
                </c:pt>
                <c:pt idx="11">
                  <c:v>2*Turin-D160</c:v>
                </c:pt>
                <c:pt idx="12">
                  <c:v>2*Turin-D192</c:v>
                </c:pt>
                <c:pt idx="13">
                  <c:v>Q80</c:v>
                </c:pt>
                <c:pt idx="14">
                  <c:v>Max28</c:v>
                </c:pt>
                <c:pt idx="15">
                  <c:v>Max30</c:v>
                </c:pt>
                <c:pt idx="16">
                  <c:v>Grace</c:v>
                </c:pt>
                <c:pt idx="17">
                  <c:v>AmperOne</c:v>
                </c:pt>
                <c:pt idx="18">
                  <c:v>2*Q80</c:v>
                </c:pt>
              </c:strCache>
            </c:strRef>
          </c:cat>
          <c:val>
            <c:numRef>
              <c:f>CO2e_updated!$T$3:$T$21</c:f>
              <c:numCache>
                <c:formatCode>General</c:formatCode>
                <c:ptCount val="19"/>
                <c:pt idx="0">
                  <c:v>19.2</c:v>
                </c:pt>
                <c:pt idx="1">
                  <c:v>24</c:v>
                </c:pt>
                <c:pt idx="2">
                  <c:v>57.8</c:v>
                </c:pt>
                <c:pt idx="3">
                  <c:v>57.6</c:v>
                </c:pt>
                <c:pt idx="4">
                  <c:v>76.8</c:v>
                </c:pt>
                <c:pt idx="5">
                  <c:v>77</c:v>
                </c:pt>
                <c:pt idx="6">
                  <c:v>307.7</c:v>
                </c:pt>
                <c:pt idx="7">
                  <c:v>231.2</c:v>
                </c:pt>
                <c:pt idx="8">
                  <c:v>308.8</c:v>
                </c:pt>
                <c:pt idx="9">
                  <c:v>76.900000000000006</c:v>
                </c:pt>
                <c:pt idx="10">
                  <c:v>307.3</c:v>
                </c:pt>
                <c:pt idx="11">
                  <c:v>385.3</c:v>
                </c:pt>
                <c:pt idx="12">
                  <c:v>461</c:v>
                </c:pt>
                <c:pt idx="13">
                  <c:v>48.1</c:v>
                </c:pt>
                <c:pt idx="14">
                  <c:v>76.7</c:v>
                </c:pt>
                <c:pt idx="15">
                  <c:v>76.900000000000006</c:v>
                </c:pt>
                <c:pt idx="16">
                  <c:v>86.2</c:v>
                </c:pt>
                <c:pt idx="17">
                  <c:v>115.3</c:v>
                </c:pt>
                <c:pt idx="18">
                  <c:v>95.9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FF3D-4CFF-A2D6-27FB2EEEF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689898320"/>
        <c:axId val="689900080"/>
      </c:barChart>
      <c:catAx>
        <c:axId val="68989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900080"/>
        <c:crosses val="autoZero"/>
        <c:auto val="1"/>
        <c:lblAlgn val="ctr"/>
        <c:lblOffset val="100"/>
        <c:noMultiLvlLbl val="0"/>
      </c:catAx>
      <c:valAx>
        <c:axId val="689900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CO2e (Kg)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89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HEP-Score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ALL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012F-41C6-841C-FA75BD6D9E43}"/>
              </c:ext>
            </c:extLst>
          </c:dPt>
          <c:dPt>
            <c:idx val="1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10F6-4041-A3C6-6A49543D803F}"/>
              </c:ext>
            </c:extLst>
          </c:dPt>
          <c:dPt>
            <c:idx val="3"/>
            <c:invertIfNegative val="0"/>
            <c:bubble3D val="0"/>
            <c:spPr>
              <a:solidFill>
                <a:srgbClr val="00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2F53-433D-B4B1-80FDB9332E85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A50-4ED0-A95E-13043C2F4491}"/>
              </c:ext>
            </c:extLst>
          </c:dPt>
          <c:dPt>
            <c:idx val="5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406D-4AA8-AF56-95A9B0958FA2}"/>
              </c:ext>
            </c:extLst>
          </c:dPt>
          <c:dPt>
            <c:idx val="6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EAA-4F54-966A-5F74062702F3}"/>
              </c:ext>
            </c:extLst>
          </c:dPt>
          <c:dPt>
            <c:idx val="8"/>
            <c:invertIfNegative val="0"/>
            <c:bubble3D val="0"/>
            <c:spPr>
              <a:solidFill>
                <a:srgbClr val="99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4DB3-4F5B-914A-B8909DBD50C6}"/>
              </c:ext>
            </c:extLst>
          </c:dPt>
          <c:dPt>
            <c:idx val="9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D0BA-46DF-A657-4DD33EABCE4B}"/>
              </c:ext>
            </c:extLst>
          </c:dPt>
          <c:dPt>
            <c:idx val="10"/>
            <c:invertIfNegative val="0"/>
            <c:bubble3D val="0"/>
            <c:spPr>
              <a:pattFill prst="narHorz">
                <a:fgClr>
                  <a:srgbClr val="660033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F346-4443-9CE8-2850E9CF84B4}"/>
              </c:ext>
            </c:extLst>
          </c:dPt>
          <c:dPt>
            <c:idx val="11"/>
            <c:invertIfNegative val="0"/>
            <c:bubble3D val="0"/>
            <c:spPr>
              <a:pattFill prst="dkDnDiag">
                <a:fgClr>
                  <a:srgbClr val="660033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F346-4443-9CE8-2850E9CF84B4}"/>
              </c:ext>
            </c:extLst>
          </c:dPt>
          <c:dPt>
            <c:idx val="12"/>
            <c:invertIfNegative val="0"/>
            <c:bubble3D val="0"/>
            <c:spPr>
              <a:pattFill prst="dkUpDiag">
                <a:fgClr>
                  <a:srgbClr val="660033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F346-4443-9CE8-2850E9CF84B4}"/>
              </c:ext>
            </c:extLst>
          </c:dPt>
          <c:dPt>
            <c:idx val="13"/>
            <c:invertIfNegative val="0"/>
            <c:bubble3D val="0"/>
            <c:spPr>
              <a:solidFill>
                <a:srgbClr val="FF99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FB35-4521-A8BE-F8F7D773CA09}"/>
              </c:ext>
            </c:extLst>
          </c:dPt>
          <c:dPt>
            <c:idx val="1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289D-40C4-8562-60FC69B55C0E}"/>
              </c:ext>
            </c:extLst>
          </c:dPt>
          <c:dPt>
            <c:idx val="1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0EAA-4F54-966A-5F74062702F3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4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F346-4443-9CE8-2850E9CF84B4}"/>
              </c:ext>
            </c:extLst>
          </c:dPt>
          <c:dPt>
            <c:idx val="17"/>
            <c:invertIfNegative val="0"/>
            <c:bubble3D val="0"/>
            <c:spPr>
              <a:solidFill>
                <a:srgbClr val="FF99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F346-4443-9CE8-2850E9CF84B4}"/>
              </c:ext>
            </c:extLst>
          </c:dPt>
          <c:dPt>
            <c:idx val="18"/>
            <c:invertIfNegative val="0"/>
            <c:bubble3D val="0"/>
            <c:spPr>
              <a:solidFill>
                <a:srgbClr val="FF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F346-4443-9CE8-2850E9CF84B4}"/>
              </c:ext>
            </c:extLst>
          </c:dPt>
          <c:cat>
            <c:strRef>
              <c:f>HS23_Watt!$C$3:$C$21</c:f>
              <c:strCache>
                <c:ptCount val="19"/>
                <c:pt idx="0">
                  <c:v>2xIntel16ht</c:v>
                </c:pt>
                <c:pt idx="1">
                  <c:v>2xIntel20ht</c:v>
                </c:pt>
                <c:pt idx="2">
                  <c:v>AMD96ht</c:v>
                </c:pt>
                <c:pt idx="3">
                  <c:v>2*AMD48ht+GPU</c:v>
                </c:pt>
                <c:pt idx="4">
                  <c:v>2xAMD64ht_r</c:v>
                </c:pt>
                <c:pt idx="5">
                  <c:v>2xAMD64ht_m</c:v>
                </c:pt>
                <c:pt idx="6">
                  <c:v>2xAMD256ht_b</c:v>
                </c:pt>
                <c:pt idx="7">
                  <c:v>2xAMD192ht</c:v>
                </c:pt>
                <c:pt idx="8">
                  <c:v>2xAMD256ht_t</c:v>
                </c:pt>
                <c:pt idx="9">
                  <c:v>AMD128ht</c:v>
                </c:pt>
                <c:pt idx="10">
                  <c:v>2xAMDd256ht</c:v>
                </c:pt>
                <c:pt idx="11">
                  <c:v>2xAMDd320ht</c:v>
                </c:pt>
                <c:pt idx="12">
                  <c:v>2xAMDd384ht</c:v>
                </c:pt>
                <c:pt idx="13">
                  <c:v>ARM80c</c:v>
                </c:pt>
                <c:pt idx="14">
                  <c:v>ARM128c_2.8</c:v>
                </c:pt>
                <c:pt idx="15">
                  <c:v>ARM128c</c:v>
                </c:pt>
                <c:pt idx="16">
                  <c:v>NVidia144c</c:v>
                </c:pt>
                <c:pt idx="17">
                  <c:v>ARM192c</c:v>
                </c:pt>
                <c:pt idx="18">
                  <c:v>2xARM80c</c:v>
                </c:pt>
              </c:strCache>
            </c:strRef>
          </c:cat>
          <c:val>
            <c:numRef>
              <c:f>HS23_Watt!$X$3:$X$21</c:f>
              <c:numCache>
                <c:formatCode>#,##0.000</c:formatCode>
                <c:ptCount val="19"/>
                <c:pt idx="0">
                  <c:v>314.26179999999999</c:v>
                </c:pt>
                <c:pt idx="1">
                  <c:v>385.65280000000001</c:v>
                </c:pt>
                <c:pt idx="2">
                  <c:v>1356.1606999999999</c:v>
                </c:pt>
                <c:pt idx="3">
                  <c:v>1692.1967</c:v>
                </c:pt>
                <c:pt idx="4">
                  <c:v>1826.3467000000001</c:v>
                </c:pt>
                <c:pt idx="5">
                  <c:v>1887.2207000000001</c:v>
                </c:pt>
                <c:pt idx="6">
                  <c:v>7497.4875000000002</c:v>
                </c:pt>
                <c:pt idx="7">
                  <c:v>6932.2978999999996</c:v>
                </c:pt>
                <c:pt idx="8">
                  <c:v>10810.9141</c:v>
                </c:pt>
                <c:pt idx="9">
                  <c:v>1838.5244</c:v>
                </c:pt>
                <c:pt idx="10">
                  <c:v>10089</c:v>
                </c:pt>
                <c:pt idx="11">
                  <c:v>11034</c:v>
                </c:pt>
                <c:pt idx="12">
                  <c:v>14187</c:v>
                </c:pt>
                <c:pt idx="13">
                  <c:v>1512.5914</c:v>
                </c:pt>
                <c:pt idx="14">
                  <c:v>2068.0848999999998</c:v>
                </c:pt>
                <c:pt idx="15">
                  <c:v>2121.2939000000001</c:v>
                </c:pt>
                <c:pt idx="16">
                  <c:v>4205.4335000000001</c:v>
                </c:pt>
                <c:pt idx="17">
                  <c:v>3342.4965000000002</c:v>
                </c:pt>
                <c:pt idx="18">
                  <c:v>2520.5962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9A50-4ED0-A95E-13043C2F44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689898320"/>
        <c:axId val="689900080"/>
      </c:barChart>
      <c:catAx>
        <c:axId val="68989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900080"/>
        <c:crosses val="autoZero"/>
        <c:auto val="1"/>
        <c:lblAlgn val="ctr"/>
        <c:lblOffset val="100"/>
        <c:noMultiLvlLbl val="0"/>
      </c:catAx>
      <c:valAx>
        <c:axId val="689900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HS23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89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HEP-Score vs. Power &lt;75-95%&gt;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circle"/>
              <c:size val="10"/>
              <c:spPr>
                <a:solidFill>
                  <a:schemeClr val="tx1">
                    <a:lumMod val="50000"/>
                    <a:lumOff val="5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3249-44A2-AEA0-13E71CBF4D89}"/>
              </c:ext>
            </c:extLst>
          </c:dPt>
          <c:dPt>
            <c:idx val="1"/>
            <c:marker>
              <c:symbol val="circle"/>
              <c:size val="10"/>
              <c:spPr>
                <a:solidFill>
                  <a:schemeClr val="tx2">
                    <a:lumMod val="60000"/>
                    <a:lumOff val="4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3249-44A2-AEA0-13E71CBF4D89}"/>
              </c:ext>
            </c:extLst>
          </c:dPt>
          <c:dPt>
            <c:idx val="3"/>
            <c:marker>
              <c:symbol val="circle"/>
              <c:size val="10"/>
              <c:spPr>
                <a:solidFill>
                  <a:srgbClr val="0000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3249-44A2-AEA0-13E71CBF4D89}"/>
              </c:ext>
            </c:extLst>
          </c:dPt>
          <c:dPt>
            <c:idx val="4"/>
            <c:marker>
              <c:symbol val="circle"/>
              <c:size val="10"/>
              <c:spPr>
                <a:solidFill>
                  <a:schemeClr val="accent6">
                    <a:lumMod val="5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3249-44A2-AEA0-13E71CBF4D89}"/>
              </c:ext>
            </c:extLst>
          </c:dPt>
          <c:dPt>
            <c:idx val="5"/>
            <c:marker>
              <c:symbol val="circle"/>
              <c:size val="10"/>
              <c:spPr>
                <a:solidFill>
                  <a:srgbClr val="00B05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A980-4112-A2AF-3C32FD1D031D}"/>
              </c:ext>
            </c:extLst>
          </c:dPt>
          <c:dPt>
            <c:idx val="6"/>
            <c:marker>
              <c:symbol val="circle"/>
              <c:size val="10"/>
              <c:spPr>
                <a:solidFill>
                  <a:srgbClr val="7030A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1588-4AC2-AE96-4222AE9BA8FD}"/>
              </c:ext>
            </c:extLst>
          </c:dPt>
          <c:dPt>
            <c:idx val="8"/>
            <c:marker>
              <c:symbol val="circle"/>
              <c:size val="10"/>
              <c:spPr>
                <a:solidFill>
                  <a:srgbClr val="9900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7252-4174-9C84-30D5CA1ABD50}"/>
              </c:ext>
            </c:extLst>
          </c:dPt>
          <c:dPt>
            <c:idx val="9"/>
            <c:marker>
              <c:symbol val="circle"/>
              <c:size val="10"/>
              <c:spPr>
                <a:solidFill>
                  <a:srgbClr val="00B0F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C6D4-4CA6-81A9-BA3146BC3626}"/>
              </c:ext>
            </c:extLst>
          </c:dPt>
          <c:dPt>
            <c:idx val="10"/>
            <c:marker>
              <c:symbol val="circle"/>
              <c:size val="10"/>
              <c:spPr>
                <a:solidFill>
                  <a:srgbClr val="660033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D3DC-4AF2-9AAC-AC12829C27CA}"/>
              </c:ext>
            </c:extLst>
          </c:dPt>
          <c:dPt>
            <c:idx val="11"/>
            <c:marker>
              <c:symbol val="circle"/>
              <c:size val="10"/>
              <c:spPr>
                <a:solidFill>
                  <a:srgbClr val="660033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13F4-4EB6-92F7-B437F4B4FB86}"/>
              </c:ext>
            </c:extLst>
          </c:dPt>
          <c:dPt>
            <c:idx val="12"/>
            <c:marker>
              <c:symbol val="circle"/>
              <c:size val="10"/>
              <c:spPr>
                <a:solidFill>
                  <a:srgbClr val="660033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5A38-4022-8587-03A12F828A10}"/>
              </c:ext>
            </c:extLst>
          </c:dPt>
          <c:dPt>
            <c:idx val="13"/>
            <c:marker>
              <c:symbol val="circle"/>
              <c:size val="10"/>
              <c:spPr>
                <a:solidFill>
                  <a:srgbClr val="FF99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8631-4FB8-99A5-CA18AF5BEC42}"/>
              </c:ext>
            </c:extLst>
          </c:dPt>
          <c:dPt>
            <c:idx val="14"/>
            <c:marker>
              <c:symbol val="circle"/>
              <c:size val="10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2B4C-4359-9684-9EAB3EE6346D}"/>
              </c:ext>
            </c:extLst>
          </c:dPt>
          <c:dPt>
            <c:idx val="15"/>
            <c:marker>
              <c:symbol val="circle"/>
              <c:size val="10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5799-4C60-8D2B-F35B816239D4}"/>
              </c:ext>
            </c:extLst>
          </c:dPt>
          <c:dPt>
            <c:idx val="16"/>
            <c:marker>
              <c:symbol val="circle"/>
              <c:size val="10"/>
              <c:spPr>
                <a:solidFill>
                  <a:schemeClr val="accent4">
                    <a:lumMod val="5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F2E0-4E9D-946A-FCBDDC7707F1}"/>
              </c:ext>
            </c:extLst>
          </c:dPt>
          <c:dPt>
            <c:idx val="17"/>
            <c:marker>
              <c:symbol val="circle"/>
              <c:size val="10"/>
              <c:spPr>
                <a:solidFill>
                  <a:srgbClr val="FF99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F2E0-4E9D-946A-FCBDDC7707F1}"/>
              </c:ext>
            </c:extLst>
          </c:dPt>
          <c:dPt>
            <c:idx val="18"/>
            <c:marker>
              <c:symbol val="circle"/>
              <c:size val="10"/>
              <c:spPr>
                <a:solidFill>
                  <a:srgbClr val="FF00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F2E0-4E9D-946A-FCBDDC7707F1}"/>
              </c:ext>
            </c:extLst>
          </c:dPt>
          <c:dLbls>
            <c:dLbl>
              <c:idx val="0"/>
              <c:layout>
                <c:manualLayout>
                  <c:x val="6.4762941789857026E-3"/>
                  <c:y val="2.3489200516392406E-2"/>
                </c:manualLayout>
              </c:layout>
              <c:tx>
                <c:rich>
                  <a:bodyPr/>
                  <a:lstStyle/>
                  <a:p>
                    <a:fld id="{B1D17CB4-3146-4C0A-B6FA-0B1C005ECE6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3249-44A2-AEA0-13E71CBF4D89}"/>
                </c:ext>
              </c:extLst>
            </c:dLbl>
            <c:dLbl>
              <c:idx val="1"/>
              <c:layout>
                <c:manualLayout>
                  <c:x val="-0.11312192349487811"/>
                  <c:y val="1.5659467010928432E-2"/>
                </c:manualLayout>
              </c:layout>
              <c:tx>
                <c:rich>
                  <a:bodyPr/>
                  <a:lstStyle/>
                  <a:p>
                    <a:fld id="{C495D872-08C5-4755-9BC8-632AC2816AF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3249-44A2-AEA0-13E71CBF4D8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191269B-6F17-46C1-8422-FC407784ABF0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3249-44A2-AEA0-13E71CBF4D89}"/>
                </c:ext>
              </c:extLst>
            </c:dLbl>
            <c:dLbl>
              <c:idx val="3"/>
              <c:layout>
                <c:manualLayout>
                  <c:x val="4.6488461710223871E-3"/>
                  <c:y val="-2.3489200516392597E-2"/>
                </c:manualLayout>
              </c:layout>
              <c:tx>
                <c:rich>
                  <a:bodyPr/>
                  <a:lstStyle/>
                  <a:p>
                    <a:fld id="{0DA950D3-DBB3-4DAC-9204-47923B9D370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3249-44A2-AEA0-13E71CBF4D89}"/>
                </c:ext>
              </c:extLst>
            </c:dLbl>
            <c:dLbl>
              <c:idx val="4"/>
              <c:layout>
                <c:manualLayout>
                  <c:x val="1.4733545206605522E-2"/>
                  <c:y val="-2.7539881792872797E-2"/>
                </c:manualLayout>
              </c:layout>
              <c:tx>
                <c:rich>
                  <a:bodyPr/>
                  <a:lstStyle/>
                  <a:p>
                    <a:fld id="{B3951DAC-1305-4F3A-9549-D49F442C15B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3249-44A2-AEA0-13E71CBF4D89}"/>
                </c:ext>
              </c:extLst>
            </c:dLbl>
            <c:dLbl>
              <c:idx val="5"/>
              <c:layout>
                <c:manualLayout>
                  <c:x val="1.7387938927375807E-2"/>
                  <c:y val="3.6704423949849317E-2"/>
                </c:manualLayout>
              </c:layout>
              <c:tx>
                <c:rich>
                  <a:bodyPr/>
                  <a:lstStyle/>
                  <a:p>
                    <a:fld id="{23F2153F-9D7A-4D8D-8A96-6060B6F16CA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A980-4112-A2AF-3C32FD1D031D}"/>
                </c:ext>
              </c:extLst>
            </c:dLbl>
            <c:dLbl>
              <c:idx val="6"/>
              <c:layout>
                <c:manualLayout>
                  <c:x val="-0.12150944599707285"/>
                  <c:y val="6.6414184506476279E-2"/>
                </c:manualLayout>
              </c:layout>
              <c:tx>
                <c:rich>
                  <a:bodyPr/>
                  <a:lstStyle/>
                  <a:p>
                    <a:fld id="{E633155D-3F10-43FF-80C4-0B79E61E045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1588-4AC2-AE96-4222AE9BA8FD}"/>
                </c:ext>
              </c:extLst>
            </c:dLbl>
            <c:dLbl>
              <c:idx val="7"/>
              <c:layout>
                <c:manualLayout>
                  <c:x val="7.7480769517039791E-3"/>
                  <c:y val="6.785769038068945E-2"/>
                </c:manualLayout>
              </c:layout>
              <c:tx>
                <c:rich>
                  <a:bodyPr/>
                  <a:lstStyle/>
                  <a:p>
                    <a:fld id="{B6AB15B7-131F-4058-8234-7CFA46F08E3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487D-48D0-A71F-CE093F032127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55E270F8-C7A9-4EC7-BB47-5BB38243A01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7252-4174-9C84-30D5CA1ABD50}"/>
                </c:ext>
              </c:extLst>
            </c:dLbl>
            <c:dLbl>
              <c:idx val="9"/>
              <c:layout>
                <c:manualLayout>
                  <c:x val="-0.13207548477942704"/>
                  <c:y val="-4.5441284136010084E-2"/>
                </c:manualLayout>
              </c:layout>
              <c:tx>
                <c:rich>
                  <a:bodyPr/>
                  <a:lstStyle/>
                  <a:p>
                    <a:fld id="{D34E2F8D-3B2D-41BD-99CF-B5D44F487AB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C6D4-4CA6-81A9-BA3146BC3626}"/>
                </c:ext>
              </c:extLst>
            </c:dLbl>
            <c:dLbl>
              <c:idx val="10"/>
              <c:layout>
                <c:manualLayout>
                  <c:x val="8.7105305513284666E-3"/>
                  <c:y val="3.9148667527320838E-2"/>
                </c:manualLayout>
              </c:layout>
              <c:tx>
                <c:rich>
                  <a:bodyPr/>
                  <a:lstStyle/>
                  <a:p>
                    <a:fld id="{FEA40A97-068A-4034-9104-732A1DB6ABE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D3DC-4AF2-9AAC-AC12829C27CA}"/>
                </c:ext>
              </c:extLst>
            </c:dLbl>
            <c:dLbl>
              <c:idx val="11"/>
              <c:layout>
                <c:manualLayout>
                  <c:x val="-2.9035101837761911E-3"/>
                  <c:y val="-4.6978401032785055E-2"/>
                </c:manualLayout>
              </c:layout>
              <c:tx>
                <c:rich>
                  <a:bodyPr/>
                  <a:lstStyle/>
                  <a:p>
                    <a:fld id="{C5AB0819-8B9A-4D7E-A441-20CA8ABD1AE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13F4-4EB6-92F7-B437F4B4FB8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04622FA6-D5FD-422D-81D3-F9A29ADC875E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5A38-4022-8587-03A12F828A10}"/>
                </c:ext>
              </c:extLst>
            </c:dLbl>
            <c:dLbl>
              <c:idx val="13"/>
              <c:layout>
                <c:manualLayout>
                  <c:x val="-8.5304008916023286E-2"/>
                  <c:y val="2.8943092839266875E-2"/>
                </c:manualLayout>
              </c:layout>
              <c:tx>
                <c:rich>
                  <a:bodyPr/>
                  <a:lstStyle/>
                  <a:p>
                    <a:fld id="{C92AB522-7C1B-4B61-9A7B-819CA55CAA7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8631-4FB8-99A5-CA18AF5BEC42}"/>
                </c:ext>
              </c:extLst>
            </c:dLbl>
            <c:dLbl>
              <c:idx val="14"/>
              <c:layout>
                <c:manualLayout>
                  <c:x val="-6.9732692565335805E-2"/>
                  <c:y val="-9.7780013670180382E-2"/>
                </c:manualLayout>
              </c:layout>
              <c:tx>
                <c:rich>
                  <a:bodyPr/>
                  <a:lstStyle/>
                  <a:p>
                    <a:fld id="{F1B54B19-4011-49B2-ADD0-264EB5AC981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2B4C-4359-9684-9EAB3EE6346D}"/>
                </c:ext>
              </c:extLst>
            </c:dLbl>
            <c:dLbl>
              <c:idx val="15"/>
              <c:layout>
                <c:manualLayout>
                  <c:x val="-5.4970958743381551E-2"/>
                  <c:y val="-5.2272410608487432E-2"/>
                </c:manualLayout>
              </c:layout>
              <c:tx>
                <c:rich>
                  <a:bodyPr/>
                  <a:lstStyle/>
                  <a:p>
                    <a:fld id="{EC5D11AD-E83A-4E0A-8BCD-240C9473ACCF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5799-4C60-8D2B-F35B816239D4}"/>
                </c:ext>
              </c:extLst>
            </c:dLbl>
            <c:dLbl>
              <c:idx val="16"/>
              <c:layout>
                <c:manualLayout>
                  <c:x val="2.0145000074430347E-2"/>
                  <c:y val="-2.8709022853368616E-2"/>
                </c:manualLayout>
              </c:layout>
              <c:tx>
                <c:rich>
                  <a:bodyPr/>
                  <a:lstStyle/>
                  <a:p>
                    <a:fld id="{91297E9C-08AB-4197-A6F4-F44643F1734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F2E0-4E9D-946A-FCBDDC7707F1}"/>
                </c:ext>
              </c:extLst>
            </c:dLbl>
            <c:dLbl>
              <c:idx val="17"/>
              <c:layout>
                <c:manualLayout>
                  <c:x val="3.0992307806815347E-3"/>
                  <c:y val="-4.9588312201273063E-2"/>
                </c:manualLayout>
              </c:layout>
              <c:tx>
                <c:rich>
                  <a:bodyPr/>
                  <a:lstStyle/>
                  <a:p>
                    <a:fld id="{9571A209-8E7A-496D-8A84-FE9606DED8B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F2E0-4E9D-946A-FCBDDC7707F1}"/>
                </c:ext>
              </c:extLst>
            </c:dLbl>
            <c:dLbl>
              <c:idx val="18"/>
              <c:layout>
                <c:manualLayout>
                  <c:x val="1.9229506824530583E-2"/>
                  <c:y val="-2.4655645854371983E-2"/>
                </c:manualLayout>
              </c:layout>
              <c:tx>
                <c:rich>
                  <a:bodyPr/>
                  <a:lstStyle/>
                  <a:p>
                    <a:fld id="{5C079EAA-4671-40AE-A122-480DB7B08F5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F2E0-4E9D-946A-FCBDDC7707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HS23_Watt!$W$3:$W$21</c:f>
              <c:numCache>
                <c:formatCode>#,##0.0</c:formatCode>
                <c:ptCount val="19"/>
                <c:pt idx="0">
                  <c:v>229.6</c:v>
                </c:pt>
                <c:pt idx="1">
                  <c:v>212.18062015503875</c:v>
                </c:pt>
                <c:pt idx="2">
                  <c:v>387.76206896551724</c:v>
                </c:pt>
                <c:pt idx="3">
                  <c:v>730.1</c:v>
                </c:pt>
                <c:pt idx="4">
                  <c:v>446.3</c:v>
                </c:pt>
                <c:pt idx="5">
                  <c:v>486.9</c:v>
                </c:pt>
                <c:pt idx="6">
                  <c:v>1322.2</c:v>
                </c:pt>
                <c:pt idx="7">
                  <c:v>1389</c:v>
                </c:pt>
                <c:pt idx="8">
                  <c:v>1479.4</c:v>
                </c:pt>
                <c:pt idx="9">
                  <c:v>324.89999999999998</c:v>
                </c:pt>
                <c:pt idx="10">
                  <c:v>1301.04</c:v>
                </c:pt>
                <c:pt idx="11">
                  <c:v>1268.5140000000001</c:v>
                </c:pt>
                <c:pt idx="12">
                  <c:v>1626.3000000000002</c:v>
                </c:pt>
                <c:pt idx="13">
                  <c:v>304.43793103448274</c:v>
                </c:pt>
                <c:pt idx="14">
                  <c:v>349.9</c:v>
                </c:pt>
                <c:pt idx="15">
                  <c:v>429.91818181818184</c:v>
                </c:pt>
                <c:pt idx="16">
                  <c:v>855.25932203389834</c:v>
                </c:pt>
                <c:pt idx="17">
                  <c:v>545.74</c:v>
                </c:pt>
                <c:pt idx="18">
                  <c:v>538.5</c:v>
                </c:pt>
              </c:numCache>
            </c:numRef>
          </c:xVal>
          <c:yVal>
            <c:numRef>
              <c:f>HS23_Watt!$X$3:$X$21</c:f>
              <c:numCache>
                <c:formatCode>#,##0.000</c:formatCode>
                <c:ptCount val="19"/>
                <c:pt idx="0">
                  <c:v>314.26179999999999</c:v>
                </c:pt>
                <c:pt idx="1">
                  <c:v>385.65280000000001</c:v>
                </c:pt>
                <c:pt idx="2">
                  <c:v>1356.1606999999999</c:v>
                </c:pt>
                <c:pt idx="3">
                  <c:v>1692.1967</c:v>
                </c:pt>
                <c:pt idx="4">
                  <c:v>1826.3467000000001</c:v>
                </c:pt>
                <c:pt idx="5">
                  <c:v>1887.2207000000001</c:v>
                </c:pt>
                <c:pt idx="6">
                  <c:v>7497.4875000000002</c:v>
                </c:pt>
                <c:pt idx="7">
                  <c:v>6932.2978999999996</c:v>
                </c:pt>
                <c:pt idx="8">
                  <c:v>10810.9141</c:v>
                </c:pt>
                <c:pt idx="9">
                  <c:v>1838.5244</c:v>
                </c:pt>
                <c:pt idx="10">
                  <c:v>10089</c:v>
                </c:pt>
                <c:pt idx="11">
                  <c:v>11034</c:v>
                </c:pt>
                <c:pt idx="12">
                  <c:v>14187</c:v>
                </c:pt>
                <c:pt idx="13">
                  <c:v>1512.5914</c:v>
                </c:pt>
                <c:pt idx="14">
                  <c:v>2068.0848999999998</c:v>
                </c:pt>
                <c:pt idx="15">
                  <c:v>2121.2939000000001</c:v>
                </c:pt>
                <c:pt idx="16">
                  <c:v>4205.4335000000001</c:v>
                </c:pt>
                <c:pt idx="17">
                  <c:v>3342.4965000000002</c:v>
                </c:pt>
                <c:pt idx="18">
                  <c:v>2520.5962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HS23_Watt!$B$3:$B$21</c15:f>
                <c15:dlblRangeCache>
                  <c:ptCount val="19"/>
                  <c:pt idx="0">
                    <c:v>2*Xeon8</c:v>
                  </c:pt>
                  <c:pt idx="1">
                    <c:v>2*Xeon</c:v>
                  </c:pt>
                  <c:pt idx="2">
                    <c:v>Milano</c:v>
                  </c:pt>
                  <c:pt idx="3">
                    <c:v>2*Roma+GPU</c:v>
                  </c:pt>
                  <c:pt idx="4">
                    <c:v>2*Roma</c:v>
                  </c:pt>
                  <c:pt idx="5">
                    <c:v>2*Milano</c:v>
                  </c:pt>
                  <c:pt idx="6">
                    <c:v>2*Bergamo</c:v>
                  </c:pt>
                  <c:pt idx="7">
                    <c:v>2*Genoa</c:v>
                  </c:pt>
                  <c:pt idx="8">
                    <c:v>2*Turin</c:v>
                  </c:pt>
                  <c:pt idx="9">
                    <c:v>Siena</c:v>
                  </c:pt>
                  <c:pt idx="10">
                    <c:v>2*Turin-D128</c:v>
                  </c:pt>
                  <c:pt idx="11">
                    <c:v>2*Turin-D160</c:v>
                  </c:pt>
                  <c:pt idx="12">
                    <c:v>2*Turin-D192</c:v>
                  </c:pt>
                  <c:pt idx="13">
                    <c:v>Q80</c:v>
                  </c:pt>
                  <c:pt idx="14">
                    <c:v>Max28</c:v>
                  </c:pt>
                  <c:pt idx="15">
                    <c:v>Max30</c:v>
                  </c:pt>
                  <c:pt idx="16">
                    <c:v>Grace</c:v>
                  </c:pt>
                  <c:pt idx="17">
                    <c:v>AmperOne</c:v>
                  </c:pt>
                  <c:pt idx="18">
                    <c:v>2*Q80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F-3249-44A2-AEA0-13E71CBF4D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7224240"/>
        <c:axId val="667224944"/>
      </c:scatterChart>
      <c:valAx>
        <c:axId val="667224240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&lt;75-95%&gt; (W)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224944"/>
        <c:crosses val="autoZero"/>
        <c:crossBetween val="midCat"/>
      </c:valAx>
      <c:valAx>
        <c:axId val="667224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HS23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2242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HEP-Score / Power &lt;75-95%&gt;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ALL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84A9-440D-A649-366185ACEEA7}"/>
              </c:ext>
            </c:extLst>
          </c:dPt>
          <c:dPt>
            <c:idx val="1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EEA7-46F8-9D57-2417819C29C2}"/>
              </c:ext>
            </c:extLst>
          </c:dPt>
          <c:dPt>
            <c:idx val="3"/>
            <c:invertIfNegative val="0"/>
            <c:bubble3D val="0"/>
            <c:spPr>
              <a:solidFill>
                <a:srgbClr val="00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91C6-4405-A67F-2BA682A90AD9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F84-4FAF-9E98-B30D0F8AFE9D}"/>
              </c:ext>
            </c:extLst>
          </c:dPt>
          <c:dPt>
            <c:idx val="5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4183-468E-A23E-167FE9B6408D}"/>
              </c:ext>
            </c:extLst>
          </c:dPt>
          <c:dPt>
            <c:idx val="6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276B-437F-877F-D65B33BA9896}"/>
              </c:ext>
            </c:extLst>
          </c:dPt>
          <c:dPt>
            <c:idx val="8"/>
            <c:invertIfNegative val="0"/>
            <c:bubble3D val="0"/>
            <c:spPr>
              <a:solidFill>
                <a:srgbClr val="99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2EDE-4A61-8E2B-E0C4C13B19AB}"/>
              </c:ext>
            </c:extLst>
          </c:dPt>
          <c:dPt>
            <c:idx val="9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AE7-42B3-B423-3C2630608C3F}"/>
              </c:ext>
            </c:extLst>
          </c:dPt>
          <c:dPt>
            <c:idx val="10"/>
            <c:invertIfNegative val="0"/>
            <c:bubble3D val="0"/>
            <c:spPr>
              <a:pattFill prst="narHorz">
                <a:fgClr>
                  <a:srgbClr val="660033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9A5E-4274-9016-BD031BA6F17C}"/>
              </c:ext>
            </c:extLst>
          </c:dPt>
          <c:dPt>
            <c:idx val="11"/>
            <c:invertIfNegative val="0"/>
            <c:bubble3D val="0"/>
            <c:spPr>
              <a:pattFill prst="dkDnDiag">
                <a:fgClr>
                  <a:srgbClr val="660033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9A5E-4274-9016-BD031BA6F17C}"/>
              </c:ext>
            </c:extLst>
          </c:dPt>
          <c:dPt>
            <c:idx val="12"/>
            <c:invertIfNegative val="0"/>
            <c:bubble3D val="0"/>
            <c:spPr>
              <a:pattFill prst="dkUpDiag">
                <a:fgClr>
                  <a:srgbClr val="660033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9A5E-4274-9016-BD031BA6F17C}"/>
              </c:ext>
            </c:extLst>
          </c:dPt>
          <c:dPt>
            <c:idx val="13"/>
            <c:invertIfNegative val="0"/>
            <c:bubble3D val="0"/>
            <c:spPr>
              <a:solidFill>
                <a:srgbClr val="FF99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04E0-4C1D-886A-C8BE3E46E8A0}"/>
              </c:ext>
            </c:extLst>
          </c:dPt>
          <c:dPt>
            <c:idx val="1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71AC-4182-98A5-26683C3509D0}"/>
              </c:ext>
            </c:extLst>
          </c:dPt>
          <c:dPt>
            <c:idx val="1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276B-437F-877F-D65B33BA9896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4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9A5E-4274-9016-BD031BA6F17C}"/>
              </c:ext>
            </c:extLst>
          </c:dPt>
          <c:dPt>
            <c:idx val="17"/>
            <c:invertIfNegative val="0"/>
            <c:bubble3D val="0"/>
            <c:spPr>
              <a:solidFill>
                <a:srgbClr val="FF99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9A5E-4274-9016-BD031BA6F17C}"/>
              </c:ext>
            </c:extLst>
          </c:dPt>
          <c:dPt>
            <c:idx val="18"/>
            <c:invertIfNegative val="0"/>
            <c:bubble3D val="0"/>
            <c:spPr>
              <a:solidFill>
                <a:srgbClr val="FF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9A5E-4274-9016-BD031BA6F17C}"/>
              </c:ext>
            </c:extLst>
          </c:dPt>
          <c:cat>
            <c:strRef>
              <c:f>HS23_Watt!$B$3:$B$21</c:f>
              <c:strCache>
                <c:ptCount val="19"/>
                <c:pt idx="0">
                  <c:v>2*Xeon8</c:v>
                </c:pt>
                <c:pt idx="1">
                  <c:v>2*Xeon</c:v>
                </c:pt>
                <c:pt idx="2">
                  <c:v>Milano</c:v>
                </c:pt>
                <c:pt idx="3">
                  <c:v>2*Roma+GPU</c:v>
                </c:pt>
                <c:pt idx="4">
                  <c:v>2*Roma</c:v>
                </c:pt>
                <c:pt idx="5">
                  <c:v>2*Milano</c:v>
                </c:pt>
                <c:pt idx="6">
                  <c:v>2*Bergamo</c:v>
                </c:pt>
                <c:pt idx="7">
                  <c:v>2*Genoa</c:v>
                </c:pt>
                <c:pt idx="8">
                  <c:v>2*Turin</c:v>
                </c:pt>
                <c:pt idx="9">
                  <c:v>Siena</c:v>
                </c:pt>
                <c:pt idx="10">
                  <c:v>2*Turin-D128</c:v>
                </c:pt>
                <c:pt idx="11">
                  <c:v>2*Turin-D160</c:v>
                </c:pt>
                <c:pt idx="12">
                  <c:v>2*Turin-D192</c:v>
                </c:pt>
                <c:pt idx="13">
                  <c:v>Q80</c:v>
                </c:pt>
                <c:pt idx="14">
                  <c:v>Max28</c:v>
                </c:pt>
                <c:pt idx="15">
                  <c:v>Max30</c:v>
                </c:pt>
                <c:pt idx="16">
                  <c:v>Grace</c:v>
                </c:pt>
                <c:pt idx="17">
                  <c:v>AmperOne</c:v>
                </c:pt>
                <c:pt idx="18">
                  <c:v>2*Q80</c:v>
                </c:pt>
              </c:strCache>
            </c:strRef>
          </c:cat>
          <c:val>
            <c:numRef>
              <c:f>HS23_Watt!$Y$3:$Y$21</c:f>
              <c:numCache>
                <c:formatCode>#,##0.000</c:formatCode>
                <c:ptCount val="19"/>
                <c:pt idx="0">
                  <c:v>1.36873606271777</c:v>
                </c:pt>
                <c:pt idx="1">
                  <c:v>1.8175684457807997</c:v>
                </c:pt>
                <c:pt idx="2">
                  <c:v>3.4974042293976928</c:v>
                </c:pt>
                <c:pt idx="3">
                  <c:v>2.3177601698397479</c:v>
                </c:pt>
                <c:pt idx="4">
                  <c:v>4.0921951602061393</c:v>
                </c:pt>
                <c:pt idx="5">
                  <c:v>3.8759924009036766</c:v>
                </c:pt>
                <c:pt idx="6">
                  <c:v>5.6704639993949479</c:v>
                </c:pt>
                <c:pt idx="7">
                  <c:v>4.9908552195824329</c:v>
                </c:pt>
                <c:pt idx="8">
                  <c:v>7.3076342436122745</c:v>
                </c:pt>
                <c:pt idx="9">
                  <c:v>5.6587393044013545</c:v>
                </c:pt>
                <c:pt idx="10">
                  <c:v>7.7545655783065861</c:v>
                </c:pt>
                <c:pt idx="11">
                  <c:v>8.698366750386672</c:v>
                </c:pt>
                <c:pt idx="12">
                  <c:v>8.7234827522597289</c:v>
                </c:pt>
                <c:pt idx="13">
                  <c:v>4.968472209951635</c:v>
                </c:pt>
                <c:pt idx="14">
                  <c:v>5.9105027150614458</c:v>
                </c:pt>
                <c:pt idx="15">
                  <c:v>4.9341804783151133</c:v>
                </c:pt>
                <c:pt idx="16">
                  <c:v>4.9171442995780836</c:v>
                </c:pt>
                <c:pt idx="17">
                  <c:v>6.1247049877230921</c:v>
                </c:pt>
                <c:pt idx="18">
                  <c:v>4.6807728876508818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3F84-4FAF-9E98-B30D0F8AF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689898320"/>
        <c:axId val="689900080"/>
      </c:barChart>
      <c:catAx>
        <c:axId val="68989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900080"/>
        <c:crosses val="autoZero"/>
        <c:auto val="1"/>
        <c:lblAlgn val="ctr"/>
        <c:lblOffset val="100"/>
        <c:noMultiLvlLbl val="0"/>
      </c:catAx>
      <c:valAx>
        <c:axId val="689900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HS23/W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89832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Power &lt;75-95%&gt;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ALL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63E2-43EB-8CC7-7D30CA317532}"/>
              </c:ext>
            </c:extLst>
          </c:dPt>
          <c:dPt>
            <c:idx val="1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797F-4345-9A11-511E4A00EDD4}"/>
              </c:ext>
            </c:extLst>
          </c:dPt>
          <c:dPt>
            <c:idx val="3"/>
            <c:invertIfNegative val="0"/>
            <c:bubble3D val="0"/>
            <c:spPr>
              <a:solidFill>
                <a:srgbClr val="00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C82-4352-94ED-D1202734B8A6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C82-4352-94ED-D1202734B8A6}"/>
              </c:ext>
            </c:extLst>
          </c:dPt>
          <c:dPt>
            <c:idx val="5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3C82-4352-94ED-D1202734B8A6}"/>
              </c:ext>
            </c:extLst>
          </c:dPt>
          <c:dPt>
            <c:idx val="6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EC78-4D5E-AB92-0774B27BF793}"/>
              </c:ext>
            </c:extLst>
          </c:dPt>
          <c:dPt>
            <c:idx val="8"/>
            <c:invertIfNegative val="0"/>
            <c:bubble3D val="0"/>
            <c:spPr>
              <a:solidFill>
                <a:srgbClr val="99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8500-4A7C-AFCC-954E58164DEA}"/>
              </c:ext>
            </c:extLst>
          </c:dPt>
          <c:dPt>
            <c:idx val="9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61C0-4FBB-BD1C-649D0A689087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6ED9-4FBE-AC29-BED8C216B7C3}"/>
              </c:ext>
            </c:extLst>
          </c:dPt>
          <c:dPt>
            <c:idx val="1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321B-469F-8B4E-3920465C6F67}"/>
              </c:ext>
            </c:extLst>
          </c:dPt>
          <c:dPt>
            <c:idx val="1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EC78-4D5E-AB92-0774B27BF793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4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C1B9-44DE-8C3D-9AD97188C4D0}"/>
              </c:ext>
            </c:extLst>
          </c:dPt>
          <c:dPt>
            <c:idx val="17"/>
            <c:invertIfNegative val="0"/>
            <c:bubble3D val="0"/>
            <c:spPr>
              <a:solidFill>
                <a:srgbClr val="FF99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C1B9-44DE-8C3D-9AD97188C4D0}"/>
              </c:ext>
            </c:extLst>
          </c:dPt>
          <c:dPt>
            <c:idx val="18"/>
            <c:invertIfNegative val="0"/>
            <c:bubble3D val="0"/>
            <c:spPr>
              <a:solidFill>
                <a:srgbClr val="FF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C1B9-44DE-8C3D-9AD97188C4D0}"/>
              </c:ext>
            </c:extLst>
          </c:dPt>
          <c:cat>
            <c:strRef>
              <c:f>HS23_Watt!$C$3:$C$21</c:f>
              <c:strCache>
                <c:ptCount val="19"/>
                <c:pt idx="0">
                  <c:v>2xIntel16ht</c:v>
                </c:pt>
                <c:pt idx="1">
                  <c:v>2xIntel20ht</c:v>
                </c:pt>
                <c:pt idx="2">
                  <c:v>AMD96ht</c:v>
                </c:pt>
                <c:pt idx="3">
                  <c:v>2*AMD48ht+GPU</c:v>
                </c:pt>
                <c:pt idx="4">
                  <c:v>2xAMD64ht_r</c:v>
                </c:pt>
                <c:pt idx="5">
                  <c:v>2xAMD64ht_m</c:v>
                </c:pt>
                <c:pt idx="6">
                  <c:v>2xAMD256ht_b</c:v>
                </c:pt>
                <c:pt idx="7">
                  <c:v>2xAMD192ht</c:v>
                </c:pt>
                <c:pt idx="8">
                  <c:v>2xAMD256ht_t</c:v>
                </c:pt>
                <c:pt idx="9">
                  <c:v>AMD128ht</c:v>
                </c:pt>
                <c:pt idx="10">
                  <c:v>2xAMDd256ht</c:v>
                </c:pt>
                <c:pt idx="11">
                  <c:v>2xAMDd320ht</c:v>
                </c:pt>
                <c:pt idx="12">
                  <c:v>2xAMDd384ht</c:v>
                </c:pt>
                <c:pt idx="13">
                  <c:v>ARM80c</c:v>
                </c:pt>
                <c:pt idx="14">
                  <c:v>ARM128c_2.8</c:v>
                </c:pt>
                <c:pt idx="15">
                  <c:v>ARM128c</c:v>
                </c:pt>
                <c:pt idx="16">
                  <c:v>NVidia144c</c:v>
                </c:pt>
                <c:pt idx="17">
                  <c:v>ARM192c</c:v>
                </c:pt>
                <c:pt idx="18">
                  <c:v>2xARM80c</c:v>
                </c:pt>
              </c:strCache>
            </c:strRef>
          </c:cat>
          <c:val>
            <c:numRef>
              <c:f>HS23_Watt!$W$3:$W$21</c:f>
              <c:numCache>
                <c:formatCode>#,##0.0</c:formatCode>
                <c:ptCount val="19"/>
                <c:pt idx="0">
                  <c:v>229.6</c:v>
                </c:pt>
                <c:pt idx="1">
                  <c:v>212.18062015503875</c:v>
                </c:pt>
                <c:pt idx="2">
                  <c:v>387.76206896551724</c:v>
                </c:pt>
                <c:pt idx="3">
                  <c:v>730.1</c:v>
                </c:pt>
                <c:pt idx="4">
                  <c:v>446.3</c:v>
                </c:pt>
                <c:pt idx="5">
                  <c:v>486.9</c:v>
                </c:pt>
                <c:pt idx="6">
                  <c:v>1322.2</c:v>
                </c:pt>
                <c:pt idx="7">
                  <c:v>1389</c:v>
                </c:pt>
                <c:pt idx="8">
                  <c:v>1479.4</c:v>
                </c:pt>
                <c:pt idx="9">
                  <c:v>324.89999999999998</c:v>
                </c:pt>
                <c:pt idx="10">
                  <c:v>1301.04</c:v>
                </c:pt>
                <c:pt idx="11">
                  <c:v>1268.5140000000001</c:v>
                </c:pt>
                <c:pt idx="12">
                  <c:v>1626.3000000000002</c:v>
                </c:pt>
                <c:pt idx="13">
                  <c:v>304.43793103448274</c:v>
                </c:pt>
                <c:pt idx="14">
                  <c:v>349.9</c:v>
                </c:pt>
                <c:pt idx="15">
                  <c:v>429.91818181818184</c:v>
                </c:pt>
                <c:pt idx="16">
                  <c:v>855.25932203389834</c:v>
                </c:pt>
                <c:pt idx="17">
                  <c:v>545.74</c:v>
                </c:pt>
                <c:pt idx="18">
                  <c:v>538.5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C82-4352-94ED-D1202734B8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689898320"/>
        <c:axId val="689900080"/>
      </c:barChart>
      <c:catAx>
        <c:axId val="68989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900080"/>
        <c:crosses val="autoZero"/>
        <c:auto val="1"/>
        <c:lblAlgn val="ctr"/>
        <c:lblOffset val="100"/>
        <c:noMultiLvlLbl val="0"/>
      </c:catAx>
      <c:valAx>
        <c:axId val="689900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Watts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89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(old)  HEP-Score / &lt;Power&gt;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993-4149-9F4B-854894F2D40D}"/>
              </c:ext>
            </c:extLst>
          </c:dPt>
          <c:dPt>
            <c:idx val="1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97C7-4F86-9C71-A6836141058F}"/>
              </c:ext>
            </c:extLst>
          </c:dPt>
          <c:dPt>
            <c:idx val="3"/>
            <c:invertIfNegative val="0"/>
            <c:bubble3D val="0"/>
            <c:spPr>
              <a:solidFill>
                <a:srgbClr val="00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993-4149-9F4B-854894F2D40D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993-4149-9F4B-854894F2D40D}"/>
              </c:ext>
            </c:extLst>
          </c:dPt>
          <c:dPt>
            <c:idx val="5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3993-4149-9F4B-854894F2D40D}"/>
              </c:ext>
            </c:extLst>
          </c:dPt>
          <c:dPt>
            <c:idx val="6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CF9B-422A-BD21-B3EC6C6AE189}"/>
              </c:ext>
            </c:extLst>
          </c:dPt>
          <c:dPt>
            <c:idx val="8"/>
            <c:invertIfNegative val="0"/>
            <c:bubble3D val="0"/>
            <c:spPr>
              <a:solidFill>
                <a:srgbClr val="99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3993-4149-9F4B-854894F2D40D}"/>
              </c:ext>
            </c:extLst>
          </c:dPt>
          <c:dPt>
            <c:idx val="9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3993-4149-9F4B-854894F2D40D}"/>
              </c:ext>
            </c:extLst>
          </c:dPt>
          <c:dPt>
            <c:idx val="13"/>
            <c:invertIfNegative val="0"/>
            <c:bubble3D val="0"/>
            <c:spPr>
              <a:solidFill>
                <a:srgbClr val="FF99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C289-4535-873E-B542125BB14A}"/>
              </c:ext>
            </c:extLst>
          </c:dPt>
          <c:dPt>
            <c:idx val="1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41CF-4B89-99F7-BE0C084019FF}"/>
              </c:ext>
            </c:extLst>
          </c:dPt>
          <c:dPt>
            <c:idx val="1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CF9B-422A-BD21-B3EC6C6AE189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4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C67C-47B6-A888-9299EC5C021E}"/>
              </c:ext>
            </c:extLst>
          </c:dPt>
          <c:dPt>
            <c:idx val="17"/>
            <c:invertIfNegative val="0"/>
            <c:bubble3D val="0"/>
            <c:spPr>
              <a:solidFill>
                <a:srgbClr val="FF99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C67C-47B6-A888-9299EC5C021E}"/>
              </c:ext>
            </c:extLst>
          </c:dPt>
          <c:dPt>
            <c:idx val="18"/>
            <c:invertIfNegative val="0"/>
            <c:bubble3D val="0"/>
            <c:spPr>
              <a:solidFill>
                <a:srgbClr val="FF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C67C-47B6-A888-9299EC5C021E}"/>
              </c:ext>
            </c:extLst>
          </c:dPt>
          <c:cat>
            <c:strRef>
              <c:f>HS23_Watt!$C$3:$C$21</c:f>
              <c:strCache>
                <c:ptCount val="19"/>
                <c:pt idx="0">
                  <c:v>2xIntel16ht</c:v>
                </c:pt>
                <c:pt idx="1">
                  <c:v>2xIntel20ht</c:v>
                </c:pt>
                <c:pt idx="2">
                  <c:v>AMD96ht</c:v>
                </c:pt>
                <c:pt idx="3">
                  <c:v>2*AMD48ht+GPU</c:v>
                </c:pt>
                <c:pt idx="4">
                  <c:v>2xAMD64ht_r</c:v>
                </c:pt>
                <c:pt idx="5">
                  <c:v>2xAMD64ht_m</c:v>
                </c:pt>
                <c:pt idx="6">
                  <c:v>2xAMD256ht_b</c:v>
                </c:pt>
                <c:pt idx="7">
                  <c:v>2xAMD192ht</c:v>
                </c:pt>
                <c:pt idx="8">
                  <c:v>2xAMD256ht_t</c:v>
                </c:pt>
                <c:pt idx="9">
                  <c:v>AMD128ht</c:v>
                </c:pt>
                <c:pt idx="10">
                  <c:v>2xAMDd256ht</c:v>
                </c:pt>
                <c:pt idx="11">
                  <c:v>2xAMDd320ht</c:v>
                </c:pt>
                <c:pt idx="12">
                  <c:v>2xAMDd384ht</c:v>
                </c:pt>
                <c:pt idx="13">
                  <c:v>ARM80c</c:v>
                </c:pt>
                <c:pt idx="14">
                  <c:v>ARM128c_2.8</c:v>
                </c:pt>
                <c:pt idx="15">
                  <c:v>ARM128c</c:v>
                </c:pt>
                <c:pt idx="16">
                  <c:v>NVidia144c</c:v>
                </c:pt>
                <c:pt idx="17">
                  <c:v>ARM192c</c:v>
                </c:pt>
                <c:pt idx="18">
                  <c:v>2xARM80c</c:v>
                </c:pt>
              </c:strCache>
            </c:strRef>
          </c:cat>
          <c:val>
            <c:numRef>
              <c:f>HS23_Watt!$AF$3:$AF$21</c:f>
              <c:numCache>
                <c:formatCode>#,##0.000</c:formatCode>
                <c:ptCount val="19"/>
                <c:pt idx="0">
                  <c:v>1.7391355838406199</c:v>
                </c:pt>
                <c:pt idx="1">
                  <c:v>2.0916124464475661</c:v>
                </c:pt>
                <c:pt idx="2">
                  <c:v>3.6795992159651205</c:v>
                </c:pt>
                <c:pt idx="3">
                  <c:v>2.4443112812364585</c:v>
                </c:pt>
                <c:pt idx="4">
                  <c:v>5.2092033656588708</c:v>
                </c:pt>
                <c:pt idx="5">
                  <c:v>4.1966215254614188</c:v>
                </c:pt>
                <c:pt idx="6">
                  <c:v>6.2604271042084179</c:v>
                </c:pt>
                <c:pt idx="7">
                  <c:v>5.9637800240880932</c:v>
                </c:pt>
                <c:pt idx="8">
                  <c:v>7.893482841705608</c:v>
                </c:pt>
                <c:pt idx="9">
                  <c:v>6.3704934164934164</c:v>
                </c:pt>
                <c:pt idx="10">
                  <c:v>8.881161971830986</c:v>
                </c:pt>
                <c:pt idx="11">
                  <c:v>9.9620801733477791</c:v>
                </c:pt>
                <c:pt idx="12">
                  <c:v>9.9908450704225356</c:v>
                </c:pt>
                <c:pt idx="13">
                  <c:v>5.7135424232161931</c:v>
                </c:pt>
                <c:pt idx="14">
                  <c:v>7.1535278450363187</c:v>
                </c:pt>
                <c:pt idx="15">
                  <c:v>5.9135388377809885</c:v>
                </c:pt>
                <c:pt idx="16">
                  <c:v>6.860868819232067</c:v>
                </c:pt>
                <c:pt idx="17">
                  <c:v>7.1598331334075924</c:v>
                </c:pt>
                <c:pt idx="18">
                  <c:v>5.9113419324577867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993-4149-9F4B-854894F2D4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689898320"/>
        <c:axId val="689900080"/>
      </c:barChart>
      <c:catAx>
        <c:axId val="68989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900080"/>
        <c:crosses val="autoZero"/>
        <c:auto val="1"/>
        <c:lblAlgn val="ctr"/>
        <c:lblOffset val="100"/>
        <c:noMultiLvlLbl val="0"/>
      </c:catAx>
      <c:valAx>
        <c:axId val="689900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Score/W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89832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&lt;Power&gt;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ALL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F68-44A6-9F45-4B23F02295C4}"/>
              </c:ext>
            </c:extLst>
          </c:dPt>
          <c:dPt>
            <c:idx val="1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0FD4-4DF0-97AC-FAE059B5AE93}"/>
              </c:ext>
            </c:extLst>
          </c:dPt>
          <c:dPt>
            <c:idx val="3"/>
            <c:invertIfNegative val="0"/>
            <c:bubble3D val="0"/>
            <c:spPr>
              <a:solidFill>
                <a:srgbClr val="00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CF68-44A6-9F45-4B23F02295C4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8-44A6-9F45-4B23F02295C4}"/>
              </c:ext>
            </c:extLst>
          </c:dPt>
          <c:dPt>
            <c:idx val="5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CF68-44A6-9F45-4B23F02295C4}"/>
              </c:ext>
            </c:extLst>
          </c:dPt>
          <c:dPt>
            <c:idx val="6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57C4-4964-945C-01E0F971C20A}"/>
              </c:ext>
            </c:extLst>
          </c:dPt>
          <c:dPt>
            <c:idx val="8"/>
            <c:invertIfNegative val="0"/>
            <c:bubble3D val="0"/>
            <c:spPr>
              <a:solidFill>
                <a:srgbClr val="99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8-44A6-9F45-4B23F02295C4}"/>
              </c:ext>
            </c:extLst>
          </c:dPt>
          <c:dPt>
            <c:idx val="9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CF68-44A6-9F45-4B23F02295C4}"/>
              </c:ext>
            </c:extLst>
          </c:dPt>
          <c:dPt>
            <c:idx val="13"/>
            <c:invertIfNegative val="0"/>
            <c:bubble3D val="0"/>
            <c:spPr>
              <a:solidFill>
                <a:srgbClr val="FF99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EB0E-4533-AC89-B001065FD296}"/>
              </c:ext>
            </c:extLst>
          </c:dPt>
          <c:dPt>
            <c:idx val="14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EB48-4EF9-9398-3B1CA0F42AC1}"/>
              </c:ext>
            </c:extLst>
          </c:dPt>
          <c:dPt>
            <c:idx val="1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57C4-4964-945C-01E0F971C20A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4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64F0-411A-A3F9-C06D3ACA5ECD}"/>
              </c:ext>
            </c:extLst>
          </c:dPt>
          <c:dPt>
            <c:idx val="17"/>
            <c:invertIfNegative val="0"/>
            <c:bubble3D val="0"/>
            <c:spPr>
              <a:solidFill>
                <a:srgbClr val="FF99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64F0-411A-A3F9-C06D3ACA5ECD}"/>
              </c:ext>
            </c:extLst>
          </c:dPt>
          <c:dPt>
            <c:idx val="18"/>
            <c:invertIfNegative val="0"/>
            <c:bubble3D val="0"/>
            <c:spPr>
              <a:solidFill>
                <a:srgbClr val="FF00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64F0-411A-A3F9-C06D3ACA5ECD}"/>
              </c:ext>
            </c:extLst>
          </c:dPt>
          <c:cat>
            <c:strRef>
              <c:f>HS23_Watt!$C$3:$C$21</c:f>
              <c:strCache>
                <c:ptCount val="19"/>
                <c:pt idx="0">
                  <c:v>2xIntel16ht</c:v>
                </c:pt>
                <c:pt idx="1">
                  <c:v>2xIntel20ht</c:v>
                </c:pt>
                <c:pt idx="2">
                  <c:v>AMD96ht</c:v>
                </c:pt>
                <c:pt idx="3">
                  <c:v>2*AMD48ht+GPU</c:v>
                </c:pt>
                <c:pt idx="4">
                  <c:v>2xAMD64ht_r</c:v>
                </c:pt>
                <c:pt idx="5">
                  <c:v>2xAMD64ht_m</c:v>
                </c:pt>
                <c:pt idx="6">
                  <c:v>2xAMD256ht_b</c:v>
                </c:pt>
                <c:pt idx="7">
                  <c:v>2xAMD192ht</c:v>
                </c:pt>
                <c:pt idx="8">
                  <c:v>2xAMD256ht_t</c:v>
                </c:pt>
                <c:pt idx="9">
                  <c:v>AMD128ht</c:v>
                </c:pt>
                <c:pt idx="10">
                  <c:v>2xAMDd256ht</c:v>
                </c:pt>
                <c:pt idx="11">
                  <c:v>2xAMDd320ht</c:v>
                </c:pt>
                <c:pt idx="12">
                  <c:v>2xAMDd384ht</c:v>
                </c:pt>
                <c:pt idx="13">
                  <c:v>ARM80c</c:v>
                </c:pt>
                <c:pt idx="14">
                  <c:v>ARM128c_2.8</c:v>
                </c:pt>
                <c:pt idx="15">
                  <c:v>ARM128c</c:v>
                </c:pt>
                <c:pt idx="16">
                  <c:v>NVidia144c</c:v>
                </c:pt>
                <c:pt idx="17">
                  <c:v>ARM192c</c:v>
                </c:pt>
                <c:pt idx="18">
                  <c:v>2xARM80c</c:v>
                </c:pt>
              </c:strCache>
            </c:strRef>
          </c:cat>
          <c:val>
            <c:numRef>
              <c:f>HS23_Watt!$V$3:$V$21</c:f>
              <c:numCache>
                <c:formatCode>#,##0.0</c:formatCode>
                <c:ptCount val="19"/>
                <c:pt idx="0">
                  <c:v>180.7</c:v>
                </c:pt>
                <c:pt idx="1">
                  <c:v>184.38062015503877</c:v>
                </c:pt>
                <c:pt idx="2">
                  <c:v>368.56206896551726</c:v>
                </c:pt>
                <c:pt idx="3">
                  <c:v>692.3</c:v>
                </c:pt>
                <c:pt idx="4">
                  <c:v>350.6</c:v>
                </c:pt>
                <c:pt idx="5">
                  <c:v>449.7</c:v>
                </c:pt>
                <c:pt idx="6">
                  <c:v>1197.5999999999999</c:v>
                </c:pt>
                <c:pt idx="7">
                  <c:v>1162.4000000000001</c:v>
                </c:pt>
                <c:pt idx="8">
                  <c:v>1369.6</c:v>
                </c:pt>
                <c:pt idx="9">
                  <c:v>288.60000000000002</c:v>
                </c:pt>
                <c:pt idx="10">
                  <c:v>1136</c:v>
                </c:pt>
                <c:pt idx="11">
                  <c:v>1107.5999999999999</c:v>
                </c:pt>
                <c:pt idx="12">
                  <c:v>1420</c:v>
                </c:pt>
                <c:pt idx="13">
                  <c:v>264.73793103448276</c:v>
                </c:pt>
                <c:pt idx="14">
                  <c:v>289.10000000000002</c:v>
                </c:pt>
                <c:pt idx="15">
                  <c:v>358.71818181818179</c:v>
                </c:pt>
                <c:pt idx="16">
                  <c:v>612.95932203389827</c:v>
                </c:pt>
                <c:pt idx="17">
                  <c:v>466.84</c:v>
                </c:pt>
                <c:pt idx="18">
                  <c:v>426.4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6F9C-4F72-A100-20DDE1D05E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689898320"/>
        <c:axId val="689900080"/>
      </c:barChart>
      <c:catAx>
        <c:axId val="68989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900080"/>
        <c:crosses val="autoZero"/>
        <c:auto val="1"/>
        <c:lblAlgn val="ctr"/>
        <c:lblOffset val="100"/>
        <c:noMultiLvlLbl val="0"/>
      </c:catAx>
      <c:valAx>
        <c:axId val="689900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Watts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89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Power &lt;75-95%&gt;  vs.  TDP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HS23_Watt!$E$2</c:f>
              <c:strCache>
                <c:ptCount val="1"/>
                <c:pt idx="0">
                  <c:v>TDP (W)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dPt>
            <c:idx val="0"/>
            <c:marker>
              <c:spPr>
                <a:solidFill>
                  <a:schemeClr val="tx1">
                    <a:lumMod val="50000"/>
                    <a:lumOff val="5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2-815D-426E-8DD6-97663AFF2886}"/>
              </c:ext>
            </c:extLst>
          </c:dPt>
          <c:dPt>
            <c:idx val="1"/>
            <c:marker>
              <c:spPr>
                <a:solidFill>
                  <a:schemeClr val="tx2">
                    <a:lumMod val="60000"/>
                    <a:lumOff val="4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3-815D-426E-8DD6-97663AFF2886}"/>
              </c:ext>
            </c:extLst>
          </c:dPt>
          <c:dPt>
            <c:idx val="3"/>
            <c:marker>
              <c:spPr>
                <a:solidFill>
                  <a:srgbClr val="0000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4-815D-426E-8DD6-97663AFF2886}"/>
              </c:ext>
            </c:extLst>
          </c:dPt>
          <c:dPt>
            <c:idx val="4"/>
            <c:marker>
              <c:spPr>
                <a:solidFill>
                  <a:schemeClr val="accent6">
                    <a:lumMod val="5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5-815D-426E-8DD6-97663AFF2886}"/>
              </c:ext>
            </c:extLst>
          </c:dPt>
          <c:dPt>
            <c:idx val="5"/>
            <c:marker>
              <c:spPr>
                <a:solidFill>
                  <a:srgbClr val="00B05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6-815D-426E-8DD6-97663AFF2886}"/>
              </c:ext>
            </c:extLst>
          </c:dPt>
          <c:dPt>
            <c:idx val="6"/>
            <c:marker>
              <c:spPr>
                <a:solidFill>
                  <a:srgbClr val="7030A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7-815D-426E-8DD6-97663AFF2886}"/>
              </c:ext>
            </c:extLst>
          </c:dPt>
          <c:dPt>
            <c:idx val="8"/>
            <c:marker>
              <c:spPr>
                <a:solidFill>
                  <a:srgbClr val="9900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8-815D-426E-8DD6-97663AFF2886}"/>
              </c:ext>
            </c:extLst>
          </c:dPt>
          <c:dPt>
            <c:idx val="9"/>
            <c:marker>
              <c:spPr>
                <a:solidFill>
                  <a:srgbClr val="00B0F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9-815D-426E-8DD6-97663AFF2886}"/>
              </c:ext>
            </c:extLst>
          </c:dPt>
          <c:dPt>
            <c:idx val="10"/>
            <c:marker>
              <c:symbol val="circle"/>
              <c:size val="7"/>
              <c:spPr>
                <a:noFill/>
                <a:ln w="38100">
                  <a:solidFill>
                    <a:srgbClr val="C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A-815D-426E-8DD6-97663AFF2886}"/>
              </c:ext>
            </c:extLst>
          </c:dPt>
          <c:dPt>
            <c:idx val="11"/>
            <c:marker>
              <c:symbol val="circle"/>
              <c:size val="7"/>
              <c:spPr>
                <a:noFill/>
                <a:ln w="38100">
                  <a:solidFill>
                    <a:srgbClr val="C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B-815D-426E-8DD6-97663AFF2886}"/>
              </c:ext>
            </c:extLst>
          </c:dPt>
          <c:dPt>
            <c:idx val="12"/>
            <c:marker>
              <c:symbol val="circle"/>
              <c:size val="7"/>
              <c:spPr>
                <a:noFill/>
                <a:ln w="38100">
                  <a:solidFill>
                    <a:srgbClr val="C0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C-815D-426E-8DD6-97663AFF2886}"/>
              </c:ext>
            </c:extLst>
          </c:dPt>
          <c:dPt>
            <c:idx val="13"/>
            <c:marker>
              <c:spPr>
                <a:solidFill>
                  <a:srgbClr val="FF99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D-815D-426E-8DD6-97663AFF2886}"/>
              </c:ext>
            </c:extLst>
          </c:dPt>
          <c:dPt>
            <c:idx val="14"/>
            <c:marker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E-815D-426E-8DD6-97663AFF2886}"/>
              </c:ext>
            </c:extLst>
          </c:dPt>
          <c:dPt>
            <c:idx val="15"/>
            <c:marker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F-815D-426E-8DD6-97663AFF2886}"/>
              </c:ext>
            </c:extLst>
          </c:dPt>
          <c:dPt>
            <c:idx val="16"/>
            <c:marker>
              <c:spPr>
                <a:solidFill>
                  <a:schemeClr val="accent4">
                    <a:lumMod val="5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2254-4340-99B4-F2ED2F60757B}"/>
              </c:ext>
            </c:extLst>
          </c:dPt>
          <c:dPt>
            <c:idx val="17"/>
            <c:marker>
              <c:spPr>
                <a:solidFill>
                  <a:srgbClr val="FF99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2254-4340-99B4-F2ED2F60757B}"/>
              </c:ext>
            </c:extLst>
          </c:dPt>
          <c:dPt>
            <c:idx val="18"/>
            <c:marker>
              <c:spPr>
                <a:solidFill>
                  <a:srgbClr val="FF00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2254-4340-99B4-F2ED2F60757B}"/>
              </c:ext>
            </c:extLst>
          </c:dPt>
          <c:dLbls>
            <c:dLbl>
              <c:idx val="0"/>
              <c:layout>
                <c:manualLayout>
                  <c:x val="6.4762941789857026E-3"/>
                  <c:y val="2.3489200516392406E-2"/>
                </c:manualLayout>
              </c:layout>
              <c:tx>
                <c:rich>
                  <a:bodyPr/>
                  <a:lstStyle/>
                  <a:p>
                    <a:fld id="{0946816F-57E3-4D1D-A5F2-5DDAF37D338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2-815D-426E-8DD6-97663AFF2886}"/>
                </c:ext>
              </c:extLst>
            </c:dLbl>
            <c:dLbl>
              <c:idx val="1"/>
              <c:layout>
                <c:manualLayout>
                  <c:x val="-0.11312192349487811"/>
                  <c:y val="1.5659467010928432E-2"/>
                </c:manualLayout>
              </c:layout>
              <c:tx>
                <c:rich>
                  <a:bodyPr/>
                  <a:lstStyle/>
                  <a:p>
                    <a:fld id="{56E0E620-6626-4844-8238-3D4A134B662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3-815D-426E-8DD6-97663AFF288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86B6A84-A357-4AEF-9E12-20391C891007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815D-426E-8DD6-97663AFF2886}"/>
                </c:ext>
              </c:extLst>
            </c:dLbl>
            <c:dLbl>
              <c:idx val="3"/>
              <c:layout>
                <c:manualLayout>
                  <c:x val="4.6488461710223871E-3"/>
                  <c:y val="-2.3489200516392597E-2"/>
                </c:manualLayout>
              </c:layout>
              <c:tx>
                <c:rich>
                  <a:bodyPr/>
                  <a:lstStyle/>
                  <a:p>
                    <a:fld id="{54BA8A31-A568-44FE-B2A4-2EC4FD2060A6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4-815D-426E-8DD6-97663AFF2886}"/>
                </c:ext>
              </c:extLst>
            </c:dLbl>
            <c:dLbl>
              <c:idx val="4"/>
              <c:layout>
                <c:manualLayout>
                  <c:x val="1.4733545206605522E-2"/>
                  <c:y val="-2.7539881792872797E-2"/>
                </c:manualLayout>
              </c:layout>
              <c:tx>
                <c:rich>
                  <a:bodyPr/>
                  <a:lstStyle/>
                  <a:p>
                    <a:fld id="{791261E0-91B0-4488-B4E5-E8482514522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5-815D-426E-8DD6-97663AFF2886}"/>
                </c:ext>
              </c:extLst>
            </c:dLbl>
            <c:dLbl>
              <c:idx val="5"/>
              <c:layout>
                <c:manualLayout>
                  <c:x val="1.7387938927375807E-2"/>
                  <c:y val="3.6704423949849317E-2"/>
                </c:manualLayout>
              </c:layout>
              <c:tx>
                <c:rich>
                  <a:bodyPr/>
                  <a:lstStyle/>
                  <a:p>
                    <a:fld id="{8D57BFB9-81F0-4FC4-98E6-DE63C250175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6-815D-426E-8DD6-97663AFF2886}"/>
                </c:ext>
              </c:extLst>
            </c:dLbl>
            <c:dLbl>
              <c:idx val="6"/>
              <c:layout>
                <c:manualLayout>
                  <c:x val="-2.8728480653065777E-3"/>
                  <c:y val="-7.1632845082625449E-2"/>
                </c:manualLayout>
              </c:layout>
              <c:tx>
                <c:rich>
                  <a:bodyPr/>
                  <a:lstStyle/>
                  <a:p>
                    <a:fld id="{21AE0089-EC67-4F67-BC39-FD81994ED99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7-815D-426E-8DD6-97663AFF2886}"/>
                </c:ext>
              </c:extLst>
            </c:dLbl>
            <c:dLbl>
              <c:idx val="7"/>
              <c:layout>
                <c:manualLayout>
                  <c:x val="-0.12859539967862582"/>
                  <c:y val="4.7655545572378458E-2"/>
                </c:manualLayout>
              </c:layout>
              <c:tx>
                <c:rich>
                  <a:bodyPr/>
                  <a:lstStyle/>
                  <a:p>
                    <a:fld id="{5ED6F4AC-BFDD-48E2-9EDB-1C39CF4E073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1-815D-426E-8DD6-97663AFF288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473414B3-1F48-410E-805E-3A98904D1B76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815D-426E-8DD6-97663AFF2886}"/>
                </c:ext>
              </c:extLst>
            </c:dLbl>
            <c:dLbl>
              <c:idx val="9"/>
              <c:layout>
                <c:manualLayout>
                  <c:x val="-0.13207548477942704"/>
                  <c:y val="-4.5441284136010084E-2"/>
                </c:manualLayout>
              </c:layout>
              <c:tx>
                <c:rich>
                  <a:bodyPr/>
                  <a:lstStyle/>
                  <a:p>
                    <a:fld id="{039E8D75-A65E-4035-8467-8DC84B268EA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9-815D-426E-8DD6-97663AFF2886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E147F4A8-DCCA-4F63-A141-10AA254149CA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815D-426E-8DD6-97663AFF2886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3EB20D3D-5700-4F2D-BFF6-5947338B7E6E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815D-426E-8DD6-97663AFF288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482A10C4-00AD-4860-93F8-B750978AA63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815D-426E-8DD6-97663AFF2886}"/>
                </c:ext>
              </c:extLst>
            </c:dLbl>
            <c:dLbl>
              <c:idx val="13"/>
              <c:layout>
                <c:manualLayout>
                  <c:x val="-8.5304008916023286E-2"/>
                  <c:y val="2.8943092839266875E-2"/>
                </c:manualLayout>
              </c:layout>
              <c:tx>
                <c:rich>
                  <a:bodyPr/>
                  <a:lstStyle/>
                  <a:p>
                    <a:fld id="{638567F0-311D-4066-8647-0EF90CC0BED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D-815D-426E-8DD6-97663AFF2886}"/>
                </c:ext>
              </c:extLst>
            </c:dLbl>
            <c:dLbl>
              <c:idx val="14"/>
              <c:layout>
                <c:manualLayout>
                  <c:x val="-6.9732692565335805E-2"/>
                  <c:y val="-9.7780013670180382E-2"/>
                </c:manualLayout>
              </c:layout>
              <c:tx>
                <c:rich>
                  <a:bodyPr/>
                  <a:lstStyle/>
                  <a:p>
                    <a:fld id="{048C319A-4574-40BE-A308-1DF099DD9ED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E-815D-426E-8DD6-97663AFF2886}"/>
                </c:ext>
              </c:extLst>
            </c:dLbl>
            <c:dLbl>
              <c:idx val="15"/>
              <c:layout>
                <c:manualLayout>
                  <c:x val="-5.4970958743381551E-2"/>
                  <c:y val="-5.2272410608487432E-2"/>
                </c:manualLayout>
              </c:layout>
              <c:tx>
                <c:rich>
                  <a:bodyPr/>
                  <a:lstStyle/>
                  <a:p>
                    <a:fld id="{ABC36F2E-2607-4C1B-BF78-EE6DFDF0141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F-815D-426E-8DD6-97663AFF2886}"/>
                </c:ext>
              </c:extLst>
            </c:dLbl>
            <c:dLbl>
              <c:idx val="16"/>
              <c:layout>
                <c:manualLayout>
                  <c:x val="2.0145000074430347E-2"/>
                  <c:y val="-2.8709022853368616E-2"/>
                </c:manualLayout>
              </c:layout>
              <c:tx>
                <c:rich>
                  <a:bodyPr/>
                  <a:lstStyle/>
                  <a:p>
                    <a:fld id="{31003793-ABA5-43D2-8D7D-3447D246F4D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2254-4340-99B4-F2ED2F60757B}"/>
                </c:ext>
              </c:extLst>
            </c:dLbl>
            <c:dLbl>
              <c:idx val="17"/>
              <c:layout>
                <c:manualLayout>
                  <c:x val="3.0992307806815347E-3"/>
                  <c:y val="-4.9588312201273063E-2"/>
                </c:manualLayout>
              </c:layout>
              <c:tx>
                <c:rich>
                  <a:bodyPr/>
                  <a:lstStyle/>
                  <a:p>
                    <a:fld id="{7F1AFD89-E2BF-4E1B-A927-0F616D89884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2254-4340-99B4-F2ED2F60757B}"/>
                </c:ext>
              </c:extLst>
            </c:dLbl>
            <c:dLbl>
              <c:idx val="18"/>
              <c:layout>
                <c:manualLayout>
                  <c:x val="1.9229506824530583E-2"/>
                  <c:y val="-2.4655645854371983E-2"/>
                </c:manualLayout>
              </c:layout>
              <c:tx>
                <c:rich>
                  <a:bodyPr/>
                  <a:lstStyle/>
                  <a:p>
                    <a:fld id="{AB6E5A06-CAA5-4DAB-8D63-04BA9BAF01A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2254-4340-99B4-F2ED2F60757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>
                <a:prstDash val="dash"/>
              </a:ln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0.56863471747306482"/>
                  <c:y val="3.3643512912984728E-4"/>
                </c:manualLayout>
              </c:layout>
              <c:numFmt formatCode="General" sourceLinked="0"/>
            </c:trendlineLbl>
          </c:trendline>
          <c:xVal>
            <c:numRef>
              <c:f>HS23_Watt!$E$3:$E$21</c:f>
              <c:numCache>
                <c:formatCode>General</c:formatCode>
                <c:ptCount val="19"/>
                <c:pt idx="0">
                  <c:v>170</c:v>
                </c:pt>
                <c:pt idx="1">
                  <c:v>170</c:v>
                </c:pt>
                <c:pt idx="2">
                  <c:v>225</c:v>
                </c:pt>
                <c:pt idx="3">
                  <c:v>400</c:v>
                </c:pt>
                <c:pt idx="4">
                  <c:v>310</c:v>
                </c:pt>
                <c:pt idx="5">
                  <c:v>400</c:v>
                </c:pt>
                <c:pt idx="6">
                  <c:v>720</c:v>
                </c:pt>
                <c:pt idx="7">
                  <c:v>680</c:v>
                </c:pt>
                <c:pt idx="8">
                  <c:v>1000</c:v>
                </c:pt>
                <c:pt idx="9">
                  <c:v>200</c:v>
                </c:pt>
                <c:pt idx="10">
                  <c:v>800</c:v>
                </c:pt>
                <c:pt idx="11">
                  <c:v>780</c:v>
                </c:pt>
                <c:pt idx="12">
                  <c:v>1000</c:v>
                </c:pt>
                <c:pt idx="13">
                  <c:v>210</c:v>
                </c:pt>
                <c:pt idx="14">
                  <c:v>230</c:v>
                </c:pt>
                <c:pt idx="15">
                  <c:v>250</c:v>
                </c:pt>
                <c:pt idx="16">
                  <c:v>500</c:v>
                </c:pt>
                <c:pt idx="17">
                  <c:v>400</c:v>
                </c:pt>
                <c:pt idx="18">
                  <c:v>420</c:v>
                </c:pt>
              </c:numCache>
            </c:numRef>
          </c:xVal>
          <c:yVal>
            <c:numRef>
              <c:f>HS23_Watt!$W$3:$W$21</c:f>
              <c:numCache>
                <c:formatCode>#,##0.0</c:formatCode>
                <c:ptCount val="19"/>
                <c:pt idx="0">
                  <c:v>229.6</c:v>
                </c:pt>
                <c:pt idx="1">
                  <c:v>212.18062015503875</c:v>
                </c:pt>
                <c:pt idx="2">
                  <c:v>387.76206896551724</c:v>
                </c:pt>
                <c:pt idx="3">
                  <c:v>730.1</c:v>
                </c:pt>
                <c:pt idx="4">
                  <c:v>446.3</c:v>
                </c:pt>
                <c:pt idx="5">
                  <c:v>486.9</c:v>
                </c:pt>
                <c:pt idx="6">
                  <c:v>1322.2</c:v>
                </c:pt>
                <c:pt idx="7">
                  <c:v>1389</c:v>
                </c:pt>
                <c:pt idx="8">
                  <c:v>1479.4</c:v>
                </c:pt>
                <c:pt idx="9">
                  <c:v>324.89999999999998</c:v>
                </c:pt>
                <c:pt idx="10">
                  <c:v>1301.04</c:v>
                </c:pt>
                <c:pt idx="11">
                  <c:v>1268.5140000000001</c:v>
                </c:pt>
                <c:pt idx="12">
                  <c:v>1626.3000000000002</c:v>
                </c:pt>
                <c:pt idx="13">
                  <c:v>304.43793103448274</c:v>
                </c:pt>
                <c:pt idx="14">
                  <c:v>349.9</c:v>
                </c:pt>
                <c:pt idx="15">
                  <c:v>429.91818181818184</c:v>
                </c:pt>
                <c:pt idx="16">
                  <c:v>855.25932203389834</c:v>
                </c:pt>
                <c:pt idx="17">
                  <c:v>545.74</c:v>
                </c:pt>
                <c:pt idx="18">
                  <c:v>538.5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HS23_Watt!$B$3:$B$21</c15:f>
                <c15:dlblRangeCache>
                  <c:ptCount val="19"/>
                  <c:pt idx="0">
                    <c:v>2*Xeon8</c:v>
                  </c:pt>
                  <c:pt idx="1">
                    <c:v>2*Xeon</c:v>
                  </c:pt>
                  <c:pt idx="2">
                    <c:v>Milano</c:v>
                  </c:pt>
                  <c:pt idx="3">
                    <c:v>2*Roma+GPU</c:v>
                  </c:pt>
                  <c:pt idx="4">
                    <c:v>2*Roma</c:v>
                  </c:pt>
                  <c:pt idx="5">
                    <c:v>2*Milano</c:v>
                  </c:pt>
                  <c:pt idx="6">
                    <c:v>2*Bergamo</c:v>
                  </c:pt>
                  <c:pt idx="7">
                    <c:v>2*Genoa</c:v>
                  </c:pt>
                  <c:pt idx="8">
                    <c:v>2*Turin</c:v>
                  </c:pt>
                  <c:pt idx="9">
                    <c:v>Siena</c:v>
                  </c:pt>
                  <c:pt idx="10">
                    <c:v>2*Turin-D128</c:v>
                  </c:pt>
                  <c:pt idx="11">
                    <c:v>2*Turin-D160</c:v>
                  </c:pt>
                  <c:pt idx="12">
                    <c:v>2*Turin-D192</c:v>
                  </c:pt>
                  <c:pt idx="13">
                    <c:v>Q80</c:v>
                  </c:pt>
                  <c:pt idx="14">
                    <c:v>Max28</c:v>
                  </c:pt>
                  <c:pt idx="15">
                    <c:v>Max30</c:v>
                  </c:pt>
                  <c:pt idx="16">
                    <c:v>Grace</c:v>
                  </c:pt>
                  <c:pt idx="17">
                    <c:v>AmperOne</c:v>
                  </c:pt>
                  <c:pt idx="18">
                    <c:v>2*Q80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2-815D-426E-8DD6-97663AFF2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7224240"/>
        <c:axId val="667224944"/>
      </c:scatterChart>
      <c:valAx>
        <c:axId val="667224240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TDP (W)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224944"/>
        <c:crosses val="autoZero"/>
        <c:crossBetween val="midCat"/>
      </c:valAx>
      <c:valAx>
        <c:axId val="667224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 &lt;75-95%&gt; (W) 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224240"/>
        <c:crosses val="autoZero"/>
        <c:crossBetween val="midCat"/>
      </c:valAx>
    </c:plotArea>
    <c:plotVisOnly val="1"/>
    <c:dispBlanksAs val="gap"/>
    <c:showDLblsOverMax val="0"/>
    <c:extLst/>
  </c:chart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Max  vs.  TDP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HS23_Watt!$T$2</c:f>
              <c:strCache>
                <c:ptCount val="1"/>
                <c:pt idx="0">
                  <c:v>Pow max (W)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dPt>
            <c:idx val="0"/>
            <c:marker>
              <c:spPr>
                <a:solidFill>
                  <a:schemeClr val="tx1">
                    <a:lumMod val="50000"/>
                    <a:lumOff val="5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6AEB-42F3-B7E5-13F20A51539C}"/>
              </c:ext>
            </c:extLst>
          </c:dPt>
          <c:dPt>
            <c:idx val="1"/>
            <c:marker>
              <c:spPr>
                <a:solidFill>
                  <a:schemeClr val="tx2">
                    <a:lumMod val="60000"/>
                    <a:lumOff val="4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6AEB-42F3-B7E5-13F20A51539C}"/>
              </c:ext>
            </c:extLst>
          </c:dPt>
          <c:dPt>
            <c:idx val="3"/>
            <c:marker>
              <c:spPr>
                <a:solidFill>
                  <a:srgbClr val="0000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6AEB-42F3-B7E5-13F20A51539C}"/>
              </c:ext>
            </c:extLst>
          </c:dPt>
          <c:dPt>
            <c:idx val="4"/>
            <c:marker>
              <c:spPr>
                <a:solidFill>
                  <a:schemeClr val="accent6">
                    <a:lumMod val="5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6AEB-42F3-B7E5-13F20A51539C}"/>
              </c:ext>
            </c:extLst>
          </c:dPt>
          <c:dPt>
            <c:idx val="5"/>
            <c:marker>
              <c:spPr>
                <a:solidFill>
                  <a:srgbClr val="00B05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6AEB-42F3-B7E5-13F20A51539C}"/>
              </c:ext>
            </c:extLst>
          </c:dPt>
          <c:dPt>
            <c:idx val="6"/>
            <c:marker>
              <c:spPr>
                <a:solidFill>
                  <a:srgbClr val="7030A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6AEB-42F3-B7E5-13F20A51539C}"/>
              </c:ext>
            </c:extLst>
          </c:dPt>
          <c:dPt>
            <c:idx val="8"/>
            <c:marker>
              <c:spPr>
                <a:solidFill>
                  <a:srgbClr val="9900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6AEB-42F3-B7E5-13F20A51539C}"/>
              </c:ext>
            </c:extLst>
          </c:dPt>
          <c:dPt>
            <c:idx val="9"/>
            <c:marker>
              <c:spPr>
                <a:solidFill>
                  <a:srgbClr val="00B0F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6AEB-42F3-B7E5-13F20A51539C}"/>
              </c:ext>
            </c:extLst>
          </c:dPt>
          <c:dPt>
            <c:idx val="10"/>
            <c:marker>
              <c:spPr>
                <a:solidFill>
                  <a:srgbClr val="660033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6AEB-42F3-B7E5-13F20A51539C}"/>
              </c:ext>
            </c:extLst>
          </c:dPt>
          <c:dPt>
            <c:idx val="11"/>
            <c:marker>
              <c:spPr>
                <a:solidFill>
                  <a:srgbClr val="660033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6AEB-42F3-B7E5-13F20A51539C}"/>
              </c:ext>
            </c:extLst>
          </c:dPt>
          <c:dPt>
            <c:idx val="12"/>
            <c:marker>
              <c:spPr>
                <a:solidFill>
                  <a:srgbClr val="660033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6AEB-42F3-B7E5-13F20A51539C}"/>
              </c:ext>
            </c:extLst>
          </c:dPt>
          <c:dPt>
            <c:idx val="13"/>
            <c:marker>
              <c:spPr>
                <a:solidFill>
                  <a:srgbClr val="FF99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6AEB-42F3-B7E5-13F20A51539C}"/>
              </c:ext>
            </c:extLst>
          </c:dPt>
          <c:dPt>
            <c:idx val="14"/>
            <c:marker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6AEB-42F3-B7E5-13F20A51539C}"/>
              </c:ext>
            </c:extLst>
          </c:dPt>
          <c:dPt>
            <c:idx val="15"/>
            <c:marker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6AEB-42F3-B7E5-13F20A51539C}"/>
              </c:ext>
            </c:extLst>
          </c:dPt>
          <c:dPt>
            <c:idx val="16"/>
            <c:marker>
              <c:spPr>
                <a:solidFill>
                  <a:schemeClr val="accent4">
                    <a:lumMod val="50000"/>
                  </a:schemeClr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DC5F-4264-84E1-700DE86771A3}"/>
              </c:ext>
            </c:extLst>
          </c:dPt>
          <c:dPt>
            <c:idx val="17"/>
            <c:marker>
              <c:spPr>
                <a:solidFill>
                  <a:srgbClr val="FF99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DC5F-4264-84E1-700DE86771A3}"/>
              </c:ext>
            </c:extLst>
          </c:dPt>
          <c:dPt>
            <c:idx val="18"/>
            <c:marker>
              <c:spPr>
                <a:solidFill>
                  <a:srgbClr val="FF00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DC5F-4264-84E1-700DE86771A3}"/>
              </c:ext>
            </c:extLst>
          </c:dPt>
          <c:dLbls>
            <c:dLbl>
              <c:idx val="0"/>
              <c:layout>
                <c:manualLayout>
                  <c:x val="-2.8937617857528766E-2"/>
                  <c:y val="8.4095261248903402E-2"/>
                </c:manualLayout>
              </c:layout>
              <c:tx>
                <c:rich>
                  <a:bodyPr/>
                  <a:lstStyle/>
                  <a:p>
                    <a:fld id="{0CF014AA-60A9-43CC-A585-71241009E393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6AEB-42F3-B7E5-13F20A51539C}"/>
                </c:ext>
              </c:extLst>
            </c:dLbl>
            <c:dLbl>
              <c:idx val="1"/>
              <c:layout>
                <c:manualLayout>
                  <c:x val="-0.11312192349487811"/>
                  <c:y val="1.5659467010928432E-2"/>
                </c:manualLayout>
              </c:layout>
              <c:tx>
                <c:rich>
                  <a:bodyPr/>
                  <a:lstStyle/>
                  <a:p>
                    <a:fld id="{EEFB42FD-8990-4A54-B226-3C9E66F44CA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6AEB-42F3-B7E5-13F20A51539C}"/>
                </c:ext>
              </c:extLst>
            </c:dLbl>
            <c:dLbl>
              <c:idx val="2"/>
              <c:layout>
                <c:manualLayout>
                  <c:x val="3.1872509960159362E-2"/>
                  <c:y val="5.7239042063935403E-2"/>
                </c:manualLayout>
              </c:layout>
              <c:tx>
                <c:rich>
                  <a:bodyPr/>
                  <a:lstStyle/>
                  <a:p>
                    <a:fld id="{1A24B620-76B2-4BD1-97B0-FB784BAF697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6AEB-42F3-B7E5-13F20A51539C}"/>
                </c:ext>
              </c:extLst>
            </c:dLbl>
            <c:dLbl>
              <c:idx val="3"/>
              <c:layout>
                <c:manualLayout>
                  <c:x val="4.6488461710223871E-3"/>
                  <c:y val="-2.3489200516392597E-2"/>
                </c:manualLayout>
              </c:layout>
              <c:tx>
                <c:rich>
                  <a:bodyPr/>
                  <a:lstStyle/>
                  <a:p>
                    <a:fld id="{9FFCCB98-607B-43AE-B491-94D0B527E64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6AEB-42F3-B7E5-13F20A51539C}"/>
                </c:ext>
              </c:extLst>
            </c:dLbl>
            <c:dLbl>
              <c:idx val="4"/>
              <c:layout>
                <c:manualLayout>
                  <c:x val="2.3587051618547683E-2"/>
                  <c:y val="-0.17905507063944678"/>
                </c:manualLayout>
              </c:layout>
              <c:tx>
                <c:rich>
                  <a:bodyPr/>
                  <a:lstStyle/>
                  <a:p>
                    <a:fld id="{C5A76083-0F88-43DE-BF25-F8250C037D4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6AEB-42F3-B7E5-13F20A51539C}"/>
                </c:ext>
              </c:extLst>
            </c:dLbl>
            <c:dLbl>
              <c:idx val="5"/>
              <c:layout>
                <c:manualLayout>
                  <c:x val="1.7387938927375807E-2"/>
                  <c:y val="3.6704423949849317E-2"/>
                </c:manualLayout>
              </c:layout>
              <c:tx>
                <c:rich>
                  <a:bodyPr/>
                  <a:lstStyle/>
                  <a:p>
                    <a:fld id="{E257B72F-D1A0-4338-A23F-27748F293DA0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6AEB-42F3-B7E5-13F20A51539C}"/>
                </c:ext>
              </c:extLst>
            </c:dLbl>
            <c:dLbl>
              <c:idx val="6"/>
              <c:layout>
                <c:manualLayout>
                  <c:x val="-0.12150944599707285"/>
                  <c:y val="6.6414184506476279E-2"/>
                </c:manualLayout>
              </c:layout>
              <c:tx>
                <c:rich>
                  <a:bodyPr/>
                  <a:lstStyle/>
                  <a:p>
                    <a:fld id="{6EC79916-14A2-4CBA-9F21-91A833B65A0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6AEB-42F3-B7E5-13F20A51539C}"/>
                </c:ext>
              </c:extLst>
            </c:dLbl>
            <c:dLbl>
              <c:idx val="7"/>
              <c:layout>
                <c:manualLayout>
                  <c:x val="7.7480769517039791E-3"/>
                  <c:y val="6.785769038068945E-2"/>
                </c:manualLayout>
              </c:layout>
              <c:tx>
                <c:rich>
                  <a:bodyPr/>
                  <a:lstStyle/>
                  <a:p>
                    <a:fld id="{6C4BB90F-73D4-432E-B074-276DFA93497C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6AEB-42F3-B7E5-13F20A51539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00578F13-AB95-4D77-8856-C139C8CA6C0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6AEB-42F3-B7E5-13F20A51539C}"/>
                </c:ext>
              </c:extLst>
            </c:dLbl>
            <c:dLbl>
              <c:idx val="9"/>
              <c:layout>
                <c:manualLayout>
                  <c:x val="-0.13207544276088995"/>
                  <c:y val="-6.5643292334555028E-2"/>
                </c:manualLayout>
              </c:layout>
              <c:tx>
                <c:rich>
                  <a:bodyPr/>
                  <a:lstStyle/>
                  <a:p>
                    <a:fld id="{5D0433B8-8CB9-4A52-BC3E-D1330BD6CE9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6AEB-42F3-B7E5-13F20A51539C}"/>
                </c:ext>
              </c:extLst>
            </c:dLbl>
            <c:dLbl>
              <c:idx val="10"/>
              <c:layout>
                <c:manualLayout>
                  <c:x val="-3.5413899955733922E-3"/>
                  <c:y val="-8.0808059384379419E-2"/>
                </c:manualLayout>
              </c:layout>
              <c:tx>
                <c:rich>
                  <a:bodyPr/>
                  <a:lstStyle/>
                  <a:p>
                    <a:fld id="{B3DADB50-1B09-4C8C-8D13-B2DA26D6C309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6AEB-42F3-B7E5-13F20A51539C}"/>
                </c:ext>
              </c:extLst>
            </c:dLbl>
            <c:dLbl>
              <c:idx val="11"/>
              <c:layout>
                <c:manualLayout>
                  <c:x val="0"/>
                  <c:y val="5.3872039589586258E-2"/>
                </c:manualLayout>
              </c:layout>
              <c:tx>
                <c:rich>
                  <a:bodyPr/>
                  <a:lstStyle/>
                  <a:p>
                    <a:fld id="{3DC3872F-E012-4ED6-A32F-020ADC74401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6AEB-42F3-B7E5-13F20A51539C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F68BE5F8-2DAD-4966-8F80-28E5C7BA657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6AEB-42F3-B7E5-13F20A51539C}"/>
                </c:ext>
              </c:extLst>
            </c:dLbl>
            <c:dLbl>
              <c:idx val="13"/>
              <c:layout>
                <c:manualLayout>
                  <c:x val="6.3434381459289702E-2"/>
                  <c:y val="9.6283014851132095E-2"/>
                </c:manualLayout>
              </c:layout>
              <c:tx>
                <c:rich>
                  <a:bodyPr/>
                  <a:lstStyle/>
                  <a:p>
                    <a:fld id="{3E4DB04A-CF9F-4772-B5F4-D5CFEF50E83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6AEB-42F3-B7E5-13F20A51539C}"/>
                </c:ext>
              </c:extLst>
            </c:dLbl>
            <c:dLbl>
              <c:idx val="14"/>
              <c:layout>
                <c:manualLayout>
                  <c:x val="-6.9732692565335805E-2"/>
                  <c:y val="-9.7780013670180382E-2"/>
                </c:manualLayout>
              </c:layout>
              <c:tx>
                <c:rich>
                  <a:bodyPr/>
                  <a:lstStyle/>
                  <a:p>
                    <a:fld id="{14B46D5A-91C1-4E86-A9C6-ECEF161CAFD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6AEB-42F3-B7E5-13F20A51539C}"/>
                </c:ext>
              </c:extLst>
            </c:dLbl>
            <c:dLbl>
              <c:idx val="15"/>
              <c:layout>
                <c:manualLayout>
                  <c:x val="-4.4346847082361716E-2"/>
                  <c:y val="-9.9410350377700851E-2"/>
                </c:manualLayout>
              </c:layout>
              <c:tx>
                <c:rich>
                  <a:bodyPr/>
                  <a:lstStyle/>
                  <a:p>
                    <a:fld id="{9F6DF3D2-747E-454C-9666-D5A0787DBC2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6AEB-42F3-B7E5-13F20A51539C}"/>
                </c:ext>
              </c:extLst>
            </c:dLbl>
            <c:dLbl>
              <c:idx val="16"/>
              <c:layout>
                <c:manualLayout>
                  <c:x val="2.0145000074430347E-2"/>
                  <c:y val="-2.8709022853368616E-2"/>
                </c:manualLayout>
              </c:layout>
              <c:tx>
                <c:rich>
                  <a:bodyPr/>
                  <a:lstStyle/>
                  <a:p>
                    <a:fld id="{A4D68355-16C9-4059-A3B6-D7A6331BDD7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DC5F-4264-84E1-700DE86771A3}"/>
                </c:ext>
              </c:extLst>
            </c:dLbl>
            <c:dLbl>
              <c:idx val="17"/>
              <c:layout>
                <c:manualLayout>
                  <c:x val="3.0992307806815347E-3"/>
                  <c:y val="-4.9588312201273063E-2"/>
                </c:manualLayout>
              </c:layout>
              <c:tx>
                <c:rich>
                  <a:bodyPr/>
                  <a:lstStyle/>
                  <a:p>
                    <a:fld id="{F49BE17A-5D69-484A-B886-90160514CB05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DC5F-4264-84E1-700DE86771A3}"/>
                </c:ext>
              </c:extLst>
            </c:dLbl>
            <c:dLbl>
              <c:idx val="18"/>
              <c:layout>
                <c:manualLayout>
                  <c:x val="5.6414063779876122E-2"/>
                  <c:y val="2.5849299862324066E-2"/>
                </c:manualLayout>
              </c:layout>
              <c:tx>
                <c:rich>
                  <a:bodyPr/>
                  <a:lstStyle/>
                  <a:p>
                    <a:fld id="{36925645-CA63-49B1-8F62-48C375E55D9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DC5F-4264-84E1-700DE86771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>
                <a:prstDash val="dash"/>
              </a:ln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0.55978124248413175"/>
                  <c:y val="-7.2017796861582523E-2"/>
                </c:manualLayout>
              </c:layout>
              <c:numFmt formatCode="General" sourceLinked="0"/>
            </c:trendlineLbl>
          </c:trendline>
          <c:xVal>
            <c:numRef>
              <c:f>HS23_Watt!$E$3:$E$21</c:f>
              <c:numCache>
                <c:formatCode>General</c:formatCode>
                <c:ptCount val="19"/>
                <c:pt idx="0">
                  <c:v>170</c:v>
                </c:pt>
                <c:pt idx="1">
                  <c:v>170</c:v>
                </c:pt>
                <c:pt idx="2">
                  <c:v>225</c:v>
                </c:pt>
                <c:pt idx="3">
                  <c:v>400</c:v>
                </c:pt>
                <c:pt idx="4">
                  <c:v>310</c:v>
                </c:pt>
                <c:pt idx="5">
                  <c:v>400</c:v>
                </c:pt>
                <c:pt idx="6">
                  <c:v>720</c:v>
                </c:pt>
                <c:pt idx="7">
                  <c:v>680</c:v>
                </c:pt>
                <c:pt idx="8">
                  <c:v>1000</c:v>
                </c:pt>
                <c:pt idx="9">
                  <c:v>200</c:v>
                </c:pt>
                <c:pt idx="10">
                  <c:v>800</c:v>
                </c:pt>
                <c:pt idx="11">
                  <c:v>780</c:v>
                </c:pt>
                <c:pt idx="12">
                  <c:v>1000</c:v>
                </c:pt>
                <c:pt idx="13">
                  <c:v>210</c:v>
                </c:pt>
                <c:pt idx="14">
                  <c:v>230</c:v>
                </c:pt>
                <c:pt idx="15">
                  <c:v>250</c:v>
                </c:pt>
                <c:pt idx="16">
                  <c:v>500</c:v>
                </c:pt>
                <c:pt idx="17">
                  <c:v>400</c:v>
                </c:pt>
                <c:pt idx="18">
                  <c:v>420</c:v>
                </c:pt>
              </c:numCache>
            </c:numRef>
          </c:xVal>
          <c:yVal>
            <c:numRef>
              <c:f>HS23_Watt!$T$3:$T$21</c:f>
              <c:numCache>
                <c:formatCode>#,##0</c:formatCode>
                <c:ptCount val="19"/>
                <c:pt idx="0">
                  <c:v>249</c:v>
                </c:pt>
                <c:pt idx="1">
                  <c:v>229.48062015503876</c:v>
                </c:pt>
                <c:pt idx="2">
                  <c:v>398.06206896551726</c:v>
                </c:pt>
                <c:pt idx="3">
                  <c:v>761</c:v>
                </c:pt>
                <c:pt idx="4">
                  <c:v>474</c:v>
                </c:pt>
                <c:pt idx="5">
                  <c:v>512</c:v>
                </c:pt>
                <c:pt idx="6">
                  <c:v>1347</c:v>
                </c:pt>
                <c:pt idx="7">
                  <c:v>1509</c:v>
                </c:pt>
                <c:pt idx="8">
                  <c:v>1575</c:v>
                </c:pt>
                <c:pt idx="9">
                  <c:v>399</c:v>
                </c:pt>
                <c:pt idx="10">
                  <c:v>1781</c:v>
                </c:pt>
                <c:pt idx="11">
                  <c:v>1811</c:v>
                </c:pt>
                <c:pt idx="12">
                  <c:v>2049</c:v>
                </c:pt>
                <c:pt idx="13">
                  <c:v>346.53793103448277</c:v>
                </c:pt>
                <c:pt idx="14">
                  <c:v>373</c:v>
                </c:pt>
                <c:pt idx="15">
                  <c:v>449.81818181818181</c:v>
                </c:pt>
                <c:pt idx="16">
                  <c:v>882.0593220338983</c:v>
                </c:pt>
                <c:pt idx="17">
                  <c:v>639.84</c:v>
                </c:pt>
                <c:pt idx="18">
                  <c:v>576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HS23_Watt!$B$3:$B$21</c15:f>
                <c15:dlblRangeCache>
                  <c:ptCount val="19"/>
                  <c:pt idx="0">
                    <c:v>2*Xeon8</c:v>
                  </c:pt>
                  <c:pt idx="1">
                    <c:v>2*Xeon</c:v>
                  </c:pt>
                  <c:pt idx="2">
                    <c:v>Milano</c:v>
                  </c:pt>
                  <c:pt idx="3">
                    <c:v>2*Roma+GPU</c:v>
                  </c:pt>
                  <c:pt idx="4">
                    <c:v>2*Roma</c:v>
                  </c:pt>
                  <c:pt idx="5">
                    <c:v>2*Milano</c:v>
                  </c:pt>
                  <c:pt idx="6">
                    <c:v>2*Bergamo</c:v>
                  </c:pt>
                  <c:pt idx="7">
                    <c:v>2*Genoa</c:v>
                  </c:pt>
                  <c:pt idx="8">
                    <c:v>2*Turin</c:v>
                  </c:pt>
                  <c:pt idx="9">
                    <c:v>Siena</c:v>
                  </c:pt>
                  <c:pt idx="10">
                    <c:v>2*Turin-D128</c:v>
                  </c:pt>
                  <c:pt idx="11">
                    <c:v>2*Turin-D160</c:v>
                  </c:pt>
                  <c:pt idx="12">
                    <c:v>2*Turin-D192</c:v>
                  </c:pt>
                  <c:pt idx="13">
                    <c:v>Q80</c:v>
                  </c:pt>
                  <c:pt idx="14">
                    <c:v>Max28</c:v>
                  </c:pt>
                  <c:pt idx="15">
                    <c:v>Max30</c:v>
                  </c:pt>
                  <c:pt idx="16">
                    <c:v>Grace</c:v>
                  </c:pt>
                  <c:pt idx="17">
                    <c:v>AmperOne</c:v>
                  </c:pt>
                  <c:pt idx="18">
                    <c:v>2*Q80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0-6AEB-42F3-B7E5-13F20A5153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7224240"/>
        <c:axId val="667224944"/>
      </c:scatterChart>
      <c:valAx>
        <c:axId val="667224240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TDP (W)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224944"/>
        <c:crosses val="autoZero"/>
        <c:crossBetween val="midCat"/>
      </c:valAx>
      <c:valAx>
        <c:axId val="667224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Max (W)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224240"/>
        <c:crosses val="autoZero"/>
        <c:crossBetween val="midCat"/>
      </c:valAx>
    </c:plotArea>
    <c:plotVisOnly val="1"/>
    <c:dispBlanksAs val="gap"/>
    <c:showDLblsOverMax val="0"/>
    <c:extLst/>
  </c:chart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43544</xdr:colOff>
      <xdr:row>49</xdr:row>
      <xdr:rowOff>104229</xdr:rowOff>
    </xdr:from>
    <xdr:to>
      <xdr:col>12</xdr:col>
      <xdr:colOff>141514</xdr:colOff>
      <xdr:row>69</xdr:row>
      <xdr:rowOff>106134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CA75DE3-F657-421B-91FA-E190918220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195943</xdr:colOff>
      <xdr:row>21</xdr:row>
      <xdr:rowOff>179069</xdr:rowOff>
    </xdr:from>
    <xdr:to>
      <xdr:col>19</xdr:col>
      <xdr:colOff>881743</xdr:colOff>
      <xdr:row>41</xdr:row>
      <xdr:rowOff>161924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5C27AFD-151A-406E-8E5E-DEFF7E22D2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9526</xdr:colOff>
      <xdr:row>22</xdr:row>
      <xdr:rowOff>20260</xdr:rowOff>
    </xdr:from>
    <xdr:to>
      <xdr:col>12</xdr:col>
      <xdr:colOff>108858</xdr:colOff>
      <xdr:row>49</xdr:row>
      <xdr:rowOff>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9D66EA3-5C1A-4D6B-B45F-1F240907E7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43542</xdr:colOff>
      <xdr:row>22</xdr:row>
      <xdr:rowOff>816</xdr:rowOff>
    </xdr:from>
    <xdr:to>
      <xdr:col>29</xdr:col>
      <xdr:colOff>424542</xdr:colOff>
      <xdr:row>42</xdr:row>
      <xdr:rowOff>28575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6634D81-9E16-46A1-B9DA-49D00710B8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216354</xdr:colOff>
      <xdr:row>42</xdr:row>
      <xdr:rowOff>156483</xdr:rowOff>
    </xdr:from>
    <xdr:to>
      <xdr:col>20</xdr:col>
      <xdr:colOff>9525</xdr:colOff>
      <xdr:row>58</xdr:row>
      <xdr:rowOff>156483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D2C716C-B584-4E17-8FF3-4B0CFA9554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73478</xdr:colOff>
      <xdr:row>43</xdr:row>
      <xdr:rowOff>2722</xdr:rowOff>
    </xdr:from>
    <xdr:to>
      <xdr:col>29</xdr:col>
      <xdr:colOff>454478</xdr:colOff>
      <xdr:row>59</xdr:row>
      <xdr:rowOff>4626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4AAA9B5-45AB-4363-B5C8-B1DC1007F1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12</xdr:col>
      <xdr:colOff>209550</xdr:colOff>
      <xdr:row>59</xdr:row>
      <xdr:rowOff>21771</xdr:rowOff>
    </xdr:from>
    <xdr:to>
      <xdr:col>20</xdr:col>
      <xdr:colOff>2721</xdr:colOff>
      <xdr:row>75</xdr:row>
      <xdr:rowOff>21772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965A8475-59A2-49C1-AA26-9DFD0EE072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31</xdr:col>
      <xdr:colOff>9525</xdr:colOff>
      <xdr:row>44</xdr:row>
      <xdr:rowOff>38099</xdr:rowOff>
    </xdr:from>
    <xdr:to>
      <xdr:col>43</xdr:col>
      <xdr:colOff>171450</xdr:colOff>
      <xdr:row>65</xdr:row>
      <xdr:rowOff>9525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7F49B9A-5888-4C4D-B887-647F749CF6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31</xdr:col>
      <xdr:colOff>0</xdr:colOff>
      <xdr:row>23</xdr:row>
      <xdr:rowOff>0</xdr:rowOff>
    </xdr:from>
    <xdr:to>
      <xdr:col>43</xdr:col>
      <xdr:colOff>161925</xdr:colOff>
      <xdr:row>43</xdr:row>
      <xdr:rowOff>152401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2D25C58-4366-47B6-9567-46ADAB8A5F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31</xdr:col>
      <xdr:colOff>0</xdr:colOff>
      <xdr:row>66</xdr:row>
      <xdr:rowOff>0</xdr:rowOff>
    </xdr:from>
    <xdr:to>
      <xdr:col>43</xdr:col>
      <xdr:colOff>161925</xdr:colOff>
      <xdr:row>86</xdr:row>
      <xdr:rowOff>152401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83B21C-494A-49C3-8919-4110C2098D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</xdr:row>
      <xdr:rowOff>0</xdr:rowOff>
    </xdr:from>
    <xdr:to>
      <xdr:col>5</xdr:col>
      <xdr:colOff>45720</xdr:colOff>
      <xdr:row>42</xdr:row>
      <xdr:rowOff>95492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68B0D9D-D2E4-4C37-89EA-77375D9C23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22</xdr:row>
      <xdr:rowOff>0</xdr:rowOff>
    </xdr:from>
    <xdr:to>
      <xdr:col>18</xdr:col>
      <xdr:colOff>182880</xdr:colOff>
      <xdr:row>42</xdr:row>
      <xdr:rowOff>95492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B0D942-36E1-4B98-979A-12D1D0F839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43</xdr:row>
      <xdr:rowOff>0</xdr:rowOff>
    </xdr:from>
    <xdr:to>
      <xdr:col>18</xdr:col>
      <xdr:colOff>182880</xdr:colOff>
      <xdr:row>63</xdr:row>
      <xdr:rowOff>95492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5E00C41-6F70-44C5-A47A-CFEBDCBDE6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586DB-FCCD-4F65-B432-2F2629E49F89}">
  <dimension ref="A1:AJ88"/>
  <sheetViews>
    <sheetView tabSelected="1" zoomScale="90" zoomScaleNormal="90" workbookViewId="0"/>
  </sheetViews>
  <sheetFormatPr defaultRowHeight="14.4" x14ac:dyDescent="0.3"/>
  <cols>
    <col min="1" max="1" width="8.44140625" customWidth="1"/>
    <col min="2" max="2" width="16.77734375" customWidth="1"/>
    <col min="3" max="3" width="15.77734375" customWidth="1"/>
    <col min="4" max="4" width="36.88671875" customWidth="1"/>
    <col min="5" max="5" width="8" customWidth="1"/>
    <col min="6" max="6" width="6.44140625" customWidth="1"/>
    <col min="7" max="7" width="12.5546875" customWidth="1"/>
    <col min="9" max="9" width="7.88671875" customWidth="1"/>
    <col min="11" max="11" width="7.88671875" customWidth="1"/>
    <col min="12" max="12" width="12.77734375" customWidth="1"/>
    <col min="13" max="13" width="11.33203125" customWidth="1"/>
    <col min="14" max="14" width="11.5546875" customWidth="1"/>
    <col min="15" max="18" width="12.77734375" customWidth="1"/>
    <col min="19" max="19" width="11.6640625" customWidth="1"/>
    <col min="20" max="20" width="13.33203125" customWidth="1"/>
    <col min="21" max="22" width="10.77734375" customWidth="1"/>
    <col min="23" max="23" width="12.88671875" customWidth="1"/>
    <col min="24" max="24" width="17.21875" customWidth="1"/>
    <col min="25" max="25" width="10.77734375" customWidth="1"/>
    <col min="26" max="26" width="3.77734375" customWidth="1"/>
    <col min="27" max="27" width="17.109375" customWidth="1"/>
    <col min="28" max="29" width="7.77734375" customWidth="1"/>
    <col min="30" max="30" width="9.109375" customWidth="1"/>
    <col min="31" max="31" width="3.77734375" customWidth="1"/>
    <col min="32" max="32" width="10.77734375" customWidth="1"/>
    <col min="33" max="33" width="4.109375" customWidth="1"/>
    <col min="34" max="34" width="9.88671875" customWidth="1"/>
    <col min="35" max="35" width="6.21875" customWidth="1"/>
    <col min="36" max="36" width="12.6640625" customWidth="1"/>
  </cols>
  <sheetData>
    <row r="1" spans="1:36" ht="15" thickBot="1" x14ac:dyDescent="0.35">
      <c r="Y1" s="20" t="s">
        <v>59</v>
      </c>
      <c r="AF1" s="20" t="s">
        <v>60</v>
      </c>
      <c r="AH1" t="s">
        <v>94</v>
      </c>
    </row>
    <row r="2" spans="1:36" ht="15" thickBot="1" x14ac:dyDescent="0.35">
      <c r="A2" s="1" t="s">
        <v>61</v>
      </c>
      <c r="B2" s="1" t="s">
        <v>40</v>
      </c>
      <c r="C2" s="13" t="s">
        <v>14</v>
      </c>
      <c r="D2" s="18" t="s">
        <v>12</v>
      </c>
      <c r="E2" s="18" t="s">
        <v>99</v>
      </c>
      <c r="F2" s="14" t="s">
        <v>13</v>
      </c>
      <c r="G2" s="17" t="s">
        <v>48</v>
      </c>
      <c r="H2" s="17" t="s">
        <v>0</v>
      </c>
      <c r="I2" s="17" t="s">
        <v>17</v>
      </c>
      <c r="J2" s="2" t="s">
        <v>1</v>
      </c>
      <c r="K2" s="14" t="s">
        <v>2</v>
      </c>
      <c r="L2" s="14" t="s">
        <v>3</v>
      </c>
      <c r="M2" s="15" t="s">
        <v>4</v>
      </c>
      <c r="N2" s="15" t="s">
        <v>5</v>
      </c>
      <c r="O2" s="15" t="s">
        <v>6</v>
      </c>
      <c r="P2" s="15" t="s">
        <v>7</v>
      </c>
      <c r="Q2" s="15" t="s">
        <v>8</v>
      </c>
      <c r="R2" s="15" t="s">
        <v>9</v>
      </c>
      <c r="S2" s="16" t="s">
        <v>10</v>
      </c>
      <c r="T2" s="16" t="s">
        <v>11</v>
      </c>
      <c r="U2" s="16" t="s">
        <v>55</v>
      </c>
      <c r="V2" s="16" t="s">
        <v>56</v>
      </c>
      <c r="W2" s="16" t="s">
        <v>57</v>
      </c>
      <c r="X2" s="45" t="s">
        <v>16</v>
      </c>
      <c r="Y2" s="46" t="s">
        <v>15</v>
      </c>
      <c r="AB2" s="1" t="s">
        <v>23</v>
      </c>
      <c r="AC2" s="1" t="s">
        <v>24</v>
      </c>
      <c r="AD2" s="1" t="s">
        <v>15</v>
      </c>
      <c r="AF2" s="46" t="s">
        <v>58</v>
      </c>
      <c r="AH2" s="1" t="s">
        <v>91</v>
      </c>
      <c r="AJ2" s="1" t="s">
        <v>40</v>
      </c>
    </row>
    <row r="3" spans="1:36" x14ac:dyDescent="0.3">
      <c r="A3" s="44" t="s">
        <v>95</v>
      </c>
      <c r="B3" s="44" t="s">
        <v>98</v>
      </c>
      <c r="C3" s="3" t="s">
        <v>96</v>
      </c>
      <c r="D3" s="47" t="s">
        <v>97</v>
      </c>
      <c r="E3" s="47">
        <f>2*85</f>
        <v>170</v>
      </c>
      <c r="F3" s="4" t="s">
        <v>13</v>
      </c>
      <c r="G3" s="4" t="s">
        <v>51</v>
      </c>
      <c r="H3" s="4" t="s">
        <v>20</v>
      </c>
      <c r="I3" s="4">
        <v>32</v>
      </c>
      <c r="J3" s="5">
        <f>K3/86400</f>
        <v>0.32143518518518521</v>
      </c>
      <c r="K3" s="77">
        <v>27772</v>
      </c>
      <c r="L3" s="77">
        <v>1.39381</v>
      </c>
      <c r="M3" s="77">
        <v>0.5</v>
      </c>
      <c r="N3" s="77">
        <v>100</v>
      </c>
      <c r="O3" s="77">
        <v>1.2</v>
      </c>
      <c r="P3" s="77">
        <v>2.8</v>
      </c>
      <c r="Q3" s="77">
        <v>1.3</v>
      </c>
      <c r="R3" s="77">
        <v>56</v>
      </c>
      <c r="S3" s="78">
        <v>60</v>
      </c>
      <c r="T3" s="78">
        <v>249</v>
      </c>
      <c r="U3" s="78">
        <v>67.3</v>
      </c>
      <c r="V3" s="79">
        <v>180.7</v>
      </c>
      <c r="W3" s="79">
        <v>229.6</v>
      </c>
      <c r="X3" s="80">
        <v>314.26179999999999</v>
      </c>
      <c r="Y3" s="10">
        <f>X3/W3</f>
        <v>1.36873606271777</v>
      </c>
      <c r="AA3" s="12" t="str">
        <f t="shared" ref="AA3:AA10" si="0">CONCATENATE(B3,"/",$B$17)</f>
        <v>2*Xeon8/Max28</v>
      </c>
      <c r="AB3" s="21">
        <f t="shared" ref="AB3:AD10" si="1">W3/W$17</f>
        <v>0.65618748213775369</v>
      </c>
      <c r="AC3" s="21">
        <f t="shared" si="1"/>
        <v>0.15195788141966513</v>
      </c>
      <c r="AD3" s="21">
        <f t="shared" si="1"/>
        <v>0.23157692817395831</v>
      </c>
      <c r="AE3" s="19"/>
      <c r="AF3" s="62">
        <f>X3/V3</f>
        <v>1.7391355838406199</v>
      </c>
      <c r="AH3" s="71"/>
      <c r="AJ3" s="44" t="s">
        <v>98</v>
      </c>
    </row>
    <row r="4" spans="1:36" x14ac:dyDescent="0.3">
      <c r="A4" s="81" t="s">
        <v>44</v>
      </c>
      <c r="B4" s="81" t="s">
        <v>70</v>
      </c>
      <c r="C4" s="22" t="s">
        <v>49</v>
      </c>
      <c r="D4" s="76" t="s">
        <v>50</v>
      </c>
      <c r="E4" s="76">
        <f>2*85</f>
        <v>170</v>
      </c>
      <c r="F4" s="23" t="s">
        <v>13</v>
      </c>
      <c r="G4" s="23" t="s">
        <v>51</v>
      </c>
      <c r="H4" s="23" t="s">
        <v>20</v>
      </c>
      <c r="I4" s="23">
        <v>40</v>
      </c>
      <c r="J4" s="24">
        <f>K4/86400</f>
        <v>0.28646990740740741</v>
      </c>
      <c r="K4" s="23">
        <v>24751</v>
      </c>
      <c r="L4" s="23">
        <v>1.26433</v>
      </c>
      <c r="M4" s="23">
        <v>0.1</v>
      </c>
      <c r="N4" s="23">
        <v>100</v>
      </c>
      <c r="O4" s="23">
        <v>1.2</v>
      </c>
      <c r="P4" s="23">
        <v>2.2000000000000002</v>
      </c>
      <c r="Q4" s="23">
        <v>2.2999999999999998</v>
      </c>
      <c r="R4" s="23">
        <v>66.400000000000006</v>
      </c>
      <c r="S4" s="48">
        <v>70</v>
      </c>
      <c r="T4" s="72">
        <f>229+AH4</f>
        <v>229.48062015503876</v>
      </c>
      <c r="U4" s="57">
        <v>83.7</v>
      </c>
      <c r="V4" s="73">
        <f>183.9+AH4</f>
        <v>184.38062015503877</v>
      </c>
      <c r="W4" s="73">
        <f>211.7+AH4</f>
        <v>212.18062015503875</v>
      </c>
      <c r="X4" s="27">
        <v>385.65280000000001</v>
      </c>
      <c r="Y4" s="26">
        <f>X4/W4</f>
        <v>1.8175684457807997</v>
      </c>
      <c r="AA4" s="12" t="str">
        <f t="shared" ref="AA4" si="2">CONCATENATE(B4,"/",$B$17)</f>
        <v>2*Xeon/Max28</v>
      </c>
      <c r="AB4" s="21">
        <f t="shared" ref="AB4" si="3">W4/W$17</f>
        <v>0.60640360147195993</v>
      </c>
      <c r="AC4" s="21">
        <f t="shared" ref="AC4" si="4">X4/X$17</f>
        <v>0.18647822437076933</v>
      </c>
      <c r="AD4" s="21">
        <f t="shared" ref="AD4" si="5">Y4/Y$17</f>
        <v>0.30751503440632533</v>
      </c>
      <c r="AE4" s="19"/>
      <c r="AF4" s="63">
        <f>X4/V4</f>
        <v>2.0916124464475661</v>
      </c>
      <c r="AH4" s="71">
        <v>0.48062015503875899</v>
      </c>
      <c r="AJ4" s="81" t="s">
        <v>70</v>
      </c>
    </row>
    <row r="5" spans="1:36" x14ac:dyDescent="0.3">
      <c r="A5" s="30" t="s">
        <v>53</v>
      </c>
      <c r="B5" s="30" t="s">
        <v>34</v>
      </c>
      <c r="C5" s="22" t="s">
        <v>77</v>
      </c>
      <c r="D5" s="23" t="s">
        <v>72</v>
      </c>
      <c r="E5" s="23">
        <f>225</f>
        <v>225</v>
      </c>
      <c r="F5" s="23" t="s">
        <v>13</v>
      </c>
      <c r="G5" s="23" t="s">
        <v>51</v>
      </c>
      <c r="H5" s="23" t="s">
        <v>19</v>
      </c>
      <c r="I5" s="23">
        <v>96</v>
      </c>
      <c r="J5" s="24">
        <f>K5/86400</f>
        <v>0.16547453703703704</v>
      </c>
      <c r="K5" s="23">
        <v>14297</v>
      </c>
      <c r="L5" s="23">
        <v>1.4515400000000001</v>
      </c>
      <c r="M5" s="23">
        <v>0.1</v>
      </c>
      <c r="N5" s="23">
        <v>100</v>
      </c>
      <c r="O5" s="23">
        <v>1.5</v>
      </c>
      <c r="P5" s="23">
        <v>2.2999999999999998</v>
      </c>
      <c r="Q5" s="23">
        <v>3.7</v>
      </c>
      <c r="R5" s="23">
        <v>155.9</v>
      </c>
      <c r="S5" s="48">
        <v>79</v>
      </c>
      <c r="T5" s="72">
        <f>395+AH5</f>
        <v>398.06206896551726</v>
      </c>
      <c r="U5" s="57">
        <v>133.19999999999999</v>
      </c>
      <c r="V5" s="73">
        <f>365.5+AH5</f>
        <v>368.56206896551726</v>
      </c>
      <c r="W5" s="73">
        <f>384.7+AH5</f>
        <v>387.76206896551724</v>
      </c>
      <c r="X5" s="27">
        <v>1356.1606999999999</v>
      </c>
      <c r="Y5" s="26">
        <f>X5/W5</f>
        <v>3.4974042293976928</v>
      </c>
      <c r="AA5" s="12" t="str">
        <f t="shared" si="0"/>
        <v>Milano/Max28</v>
      </c>
      <c r="AB5" s="21">
        <f t="shared" si="1"/>
        <v>1.1082082565462055</v>
      </c>
      <c r="AC5" s="21">
        <f t="shared" si="1"/>
        <v>0.65575678251893821</v>
      </c>
      <c r="AD5" s="21">
        <f t="shared" si="1"/>
        <v>0.5917270320315442</v>
      </c>
      <c r="AE5" s="19"/>
      <c r="AF5" s="63">
        <f t="shared" ref="AF5:AF21" si="6">X5/V5</f>
        <v>3.6795992159651205</v>
      </c>
      <c r="AH5" s="71">
        <v>3.0620689655172399</v>
      </c>
      <c r="AJ5" s="30" t="s">
        <v>34</v>
      </c>
    </row>
    <row r="6" spans="1:36" x14ac:dyDescent="0.3">
      <c r="A6" s="65" t="s">
        <v>71</v>
      </c>
      <c r="B6" s="65" t="s">
        <v>90</v>
      </c>
      <c r="C6" s="22" t="s">
        <v>78</v>
      </c>
      <c r="D6" s="23" t="s">
        <v>74</v>
      </c>
      <c r="E6" s="23">
        <f>2*200</f>
        <v>400</v>
      </c>
      <c r="F6" s="23" t="s">
        <v>13</v>
      </c>
      <c r="G6" s="23" t="s">
        <v>51</v>
      </c>
      <c r="H6" s="23" t="s">
        <v>20</v>
      </c>
      <c r="I6" s="23">
        <v>96</v>
      </c>
      <c r="J6" s="24">
        <f>K6/86400</f>
        <v>0.14046296296296296</v>
      </c>
      <c r="K6" s="23">
        <v>12136</v>
      </c>
      <c r="L6" s="23">
        <v>2.3337300000000001</v>
      </c>
      <c r="M6" s="23">
        <v>0.2</v>
      </c>
      <c r="N6" s="23">
        <v>100</v>
      </c>
      <c r="O6" s="23">
        <v>1.8</v>
      </c>
      <c r="P6" s="23">
        <v>4</v>
      </c>
      <c r="Q6" s="23">
        <v>10.199999999999999</v>
      </c>
      <c r="R6" s="23">
        <v>162.9</v>
      </c>
      <c r="S6" s="48">
        <v>311</v>
      </c>
      <c r="T6" s="48">
        <v>761</v>
      </c>
      <c r="U6" s="57">
        <v>339.8</v>
      </c>
      <c r="V6" s="53">
        <v>692.3</v>
      </c>
      <c r="W6" s="53">
        <v>730.1</v>
      </c>
      <c r="X6" s="27">
        <v>1692.1967</v>
      </c>
      <c r="Y6" s="26">
        <f>X6/W6</f>
        <v>2.3177601698397479</v>
      </c>
      <c r="AA6" s="12" t="str">
        <f t="shared" si="0"/>
        <v>2*Roma+GPU/Max28</v>
      </c>
      <c r="AB6" s="21">
        <f t="shared" si="1"/>
        <v>2.0865961703343814</v>
      </c>
      <c r="AC6" s="21">
        <f t="shared" si="1"/>
        <v>0.81824334194403725</v>
      </c>
      <c r="AD6" s="21">
        <f t="shared" si="1"/>
        <v>0.3921426453173793</v>
      </c>
      <c r="AE6" s="19"/>
      <c r="AF6" s="63">
        <f t="shared" ref="AF6" si="7">X6/V6</f>
        <v>2.4443112812364585</v>
      </c>
      <c r="AH6" s="71"/>
      <c r="AI6" t="s">
        <v>93</v>
      </c>
      <c r="AJ6" s="65" t="s">
        <v>90</v>
      </c>
    </row>
    <row r="7" spans="1:36" x14ac:dyDescent="0.3">
      <c r="A7" s="43" t="s">
        <v>62</v>
      </c>
      <c r="B7" s="43" t="s">
        <v>69</v>
      </c>
      <c r="C7" s="22" t="s">
        <v>89</v>
      </c>
      <c r="D7" s="23" t="s">
        <v>47</v>
      </c>
      <c r="E7" s="23">
        <f>2*155</f>
        <v>310</v>
      </c>
      <c r="F7" s="23" t="s">
        <v>13</v>
      </c>
      <c r="G7" s="23" t="s">
        <v>51</v>
      </c>
      <c r="H7" s="23" t="s">
        <v>20</v>
      </c>
      <c r="I7" s="23">
        <v>128</v>
      </c>
      <c r="J7" s="24">
        <f t="shared" ref="J7" si="8">K7/86400</f>
        <v>0.21211805555555555</v>
      </c>
      <c r="K7" s="41">
        <v>18327</v>
      </c>
      <c r="L7" s="41">
        <v>1.7848599999999999</v>
      </c>
      <c r="M7" s="41">
        <v>0.2</v>
      </c>
      <c r="N7" s="41">
        <v>100</v>
      </c>
      <c r="O7" s="41">
        <v>1.3</v>
      </c>
      <c r="P7" s="41">
        <v>3.3</v>
      </c>
      <c r="Q7" s="41">
        <v>4.9000000000000004</v>
      </c>
      <c r="R7" s="41">
        <v>218.1</v>
      </c>
      <c r="S7" s="49">
        <v>56</v>
      </c>
      <c r="T7" s="49">
        <v>474</v>
      </c>
      <c r="U7" s="58">
        <v>101.4</v>
      </c>
      <c r="V7" s="54">
        <v>350.6</v>
      </c>
      <c r="W7" s="54">
        <v>446.3</v>
      </c>
      <c r="X7" s="42">
        <v>1826.3467000000001</v>
      </c>
      <c r="Y7" s="26">
        <f t="shared" ref="Y7:Y20" si="9">X7/W7</f>
        <v>4.0921951602061393</v>
      </c>
      <c r="AA7" s="12" t="str">
        <f t="shared" si="0"/>
        <v>2*Roma/Max28</v>
      </c>
      <c r="AB7" s="21">
        <f t="shared" si="1"/>
        <v>1.2755072877965135</v>
      </c>
      <c r="AC7" s="21">
        <f t="shared" si="1"/>
        <v>0.88311011796469296</v>
      </c>
      <c r="AD7" s="21">
        <f t="shared" si="1"/>
        <v>0.69235991547355147</v>
      </c>
      <c r="AE7" s="19"/>
      <c r="AF7" s="63">
        <f t="shared" si="6"/>
        <v>5.2092033656588708</v>
      </c>
      <c r="AH7" s="71"/>
      <c r="AI7" t="s">
        <v>93</v>
      </c>
      <c r="AJ7" s="43" t="s">
        <v>69</v>
      </c>
    </row>
    <row r="8" spans="1:36" x14ac:dyDescent="0.3">
      <c r="A8" s="31" t="s">
        <v>45</v>
      </c>
      <c r="B8" s="31" t="s">
        <v>37</v>
      </c>
      <c r="C8" s="22" t="s">
        <v>75</v>
      </c>
      <c r="D8" s="23" t="s">
        <v>27</v>
      </c>
      <c r="E8" s="23">
        <f>2*200</f>
        <v>400</v>
      </c>
      <c r="F8" s="23" t="s">
        <v>13</v>
      </c>
      <c r="G8" s="23" t="s">
        <v>51</v>
      </c>
      <c r="H8" s="23" t="s">
        <v>20</v>
      </c>
      <c r="I8" s="23">
        <v>128</v>
      </c>
      <c r="J8" s="24">
        <f t="shared" ref="J8:J20" si="10">K8/86400</f>
        <v>0.16371527777777778</v>
      </c>
      <c r="K8" s="25">
        <v>14145</v>
      </c>
      <c r="L8" s="25">
        <v>1.7668299999999999</v>
      </c>
      <c r="M8" s="25">
        <v>0.2</v>
      </c>
      <c r="N8" s="25">
        <v>100</v>
      </c>
      <c r="O8" s="25">
        <v>1.5</v>
      </c>
      <c r="P8" s="25">
        <v>2.6</v>
      </c>
      <c r="Q8" s="25">
        <v>6</v>
      </c>
      <c r="R8" s="25">
        <v>223.1</v>
      </c>
      <c r="S8" s="50">
        <v>131</v>
      </c>
      <c r="T8" s="50">
        <v>512</v>
      </c>
      <c r="U8" s="57">
        <v>152.69999999999999</v>
      </c>
      <c r="V8" s="55">
        <v>449.7</v>
      </c>
      <c r="W8" s="55">
        <v>486.9</v>
      </c>
      <c r="X8" s="28">
        <v>1887.2207000000001</v>
      </c>
      <c r="Y8" s="26">
        <f t="shared" si="9"/>
        <v>3.8759924009036766</v>
      </c>
      <c r="AA8" s="12" t="str">
        <f t="shared" si="0"/>
        <v>2*Milano/Max28</v>
      </c>
      <c r="AB8" s="21">
        <f t="shared" si="1"/>
        <v>1.3915404401257503</v>
      </c>
      <c r="AC8" s="21">
        <f t="shared" si="1"/>
        <v>0.9125450797498692</v>
      </c>
      <c r="AD8" s="21">
        <f t="shared" si="1"/>
        <v>0.65578049579888931</v>
      </c>
      <c r="AE8" s="19"/>
      <c r="AF8" s="63">
        <f t="shared" si="6"/>
        <v>4.1966215254614188</v>
      </c>
      <c r="AH8" s="71"/>
      <c r="AI8" t="s">
        <v>93</v>
      </c>
      <c r="AJ8" s="31" t="s">
        <v>37</v>
      </c>
    </row>
    <row r="9" spans="1:36" x14ac:dyDescent="0.3">
      <c r="A9" s="32" t="s">
        <v>26</v>
      </c>
      <c r="B9" s="32" t="s">
        <v>39</v>
      </c>
      <c r="C9" s="22" t="s">
        <v>88</v>
      </c>
      <c r="D9" s="23" t="s">
        <v>32</v>
      </c>
      <c r="E9" s="23">
        <f>2*360</f>
        <v>720</v>
      </c>
      <c r="F9" s="23" t="s">
        <v>13</v>
      </c>
      <c r="G9" s="23" t="s">
        <v>51</v>
      </c>
      <c r="H9" s="23" t="s">
        <v>20</v>
      </c>
      <c r="I9" s="23">
        <v>512</v>
      </c>
      <c r="J9" s="24">
        <f t="shared" si="10"/>
        <v>0.1855324074074074</v>
      </c>
      <c r="K9" s="25">
        <v>16030</v>
      </c>
      <c r="L9" s="25">
        <v>5.3327400000000003</v>
      </c>
      <c r="M9" s="25">
        <v>0.1</v>
      </c>
      <c r="N9" s="25">
        <v>100</v>
      </c>
      <c r="O9" s="25">
        <v>1.3</v>
      </c>
      <c r="P9" s="25">
        <v>3.1</v>
      </c>
      <c r="Q9" s="25">
        <v>13.8</v>
      </c>
      <c r="R9" s="25">
        <v>934.5</v>
      </c>
      <c r="S9" s="50">
        <v>169</v>
      </c>
      <c r="T9" s="50">
        <v>1347</v>
      </c>
      <c r="U9" s="57">
        <v>242.3</v>
      </c>
      <c r="V9" s="55">
        <v>1197.5999999999999</v>
      </c>
      <c r="W9" s="55">
        <v>1322.2</v>
      </c>
      <c r="X9" s="28">
        <v>7497.4875000000002</v>
      </c>
      <c r="Y9" s="26">
        <f t="shared" si="9"/>
        <v>5.6704639993949479</v>
      </c>
      <c r="AA9" s="12" t="str">
        <f t="shared" si="0"/>
        <v>2*Bergamo/Max28</v>
      </c>
      <c r="AB9" s="21">
        <f t="shared" si="1"/>
        <v>3.7787939411260365</v>
      </c>
      <c r="AC9" s="21">
        <f t="shared" si="1"/>
        <v>3.6253286796881503</v>
      </c>
      <c r="AD9" s="21">
        <f t="shared" si="1"/>
        <v>0.95938776661842673</v>
      </c>
      <c r="AE9" s="19"/>
      <c r="AF9" s="63">
        <f t="shared" si="6"/>
        <v>6.2604271042084179</v>
      </c>
      <c r="AH9" s="71"/>
      <c r="AJ9" s="32" t="s">
        <v>39</v>
      </c>
    </row>
    <row r="10" spans="1:36" x14ac:dyDescent="0.3">
      <c r="A10" s="66" t="s">
        <v>26</v>
      </c>
      <c r="B10" s="66" t="s">
        <v>80</v>
      </c>
      <c r="C10" s="22" t="s">
        <v>81</v>
      </c>
      <c r="D10" s="23" t="s">
        <v>79</v>
      </c>
      <c r="E10" s="23">
        <f>2*340</f>
        <v>680</v>
      </c>
      <c r="F10" s="23" t="s">
        <v>13</v>
      </c>
      <c r="G10" s="23" t="s">
        <v>51</v>
      </c>
      <c r="H10" s="23" t="s">
        <v>20</v>
      </c>
      <c r="I10" s="23">
        <v>384</v>
      </c>
      <c r="J10" s="24">
        <f t="shared" si="10"/>
        <v>0.14619212962962963</v>
      </c>
      <c r="K10" s="23">
        <v>12631</v>
      </c>
      <c r="L10" s="23">
        <v>4.0784000000000002</v>
      </c>
      <c r="M10" s="23">
        <v>0.1</v>
      </c>
      <c r="N10" s="23">
        <v>100</v>
      </c>
      <c r="O10" s="23">
        <v>1.4</v>
      </c>
      <c r="P10" s="23">
        <v>3.7</v>
      </c>
      <c r="Q10" s="23">
        <v>6</v>
      </c>
      <c r="R10" s="23">
        <v>705.7</v>
      </c>
      <c r="S10" s="48">
        <v>191</v>
      </c>
      <c r="T10" s="48">
        <v>1509</v>
      </c>
      <c r="U10" s="69">
        <v>768.2</v>
      </c>
      <c r="V10" s="55">
        <v>1162.4000000000001</v>
      </c>
      <c r="W10" s="53">
        <v>1389</v>
      </c>
      <c r="X10" s="27">
        <v>6932.2978999999996</v>
      </c>
      <c r="Y10" s="26">
        <f t="shared" si="9"/>
        <v>4.9908552195824329</v>
      </c>
      <c r="AA10" s="12" t="str">
        <f t="shared" si="0"/>
        <v>2*Genoa/Max28</v>
      </c>
      <c r="AB10" s="21">
        <f t="shared" si="1"/>
        <v>3.9697056301800515</v>
      </c>
      <c r="AC10" s="21">
        <f t="shared" si="1"/>
        <v>3.3520373849255414</v>
      </c>
      <c r="AD10" s="21">
        <f t="shared" si="1"/>
        <v>0.84440452194776594</v>
      </c>
      <c r="AE10" s="19"/>
      <c r="AF10" s="63">
        <f t="shared" ref="AF10" si="11">X10/V10</f>
        <v>5.9637800240880932</v>
      </c>
      <c r="AH10" s="71"/>
      <c r="AJ10" s="66" t="s">
        <v>80</v>
      </c>
    </row>
    <row r="11" spans="1:36" x14ac:dyDescent="0.3">
      <c r="A11" s="68" t="s">
        <v>26</v>
      </c>
      <c r="B11" s="68" t="s">
        <v>85</v>
      </c>
      <c r="C11" s="22" t="s">
        <v>87</v>
      </c>
      <c r="D11" s="23" t="s">
        <v>86</v>
      </c>
      <c r="E11" s="23">
        <f>2*500</f>
        <v>1000</v>
      </c>
      <c r="F11" s="23" t="s">
        <v>13</v>
      </c>
      <c r="G11" s="23" t="s">
        <v>51</v>
      </c>
      <c r="H11" s="23" t="s">
        <v>20</v>
      </c>
      <c r="I11" s="23">
        <v>512</v>
      </c>
      <c r="J11" s="24">
        <f t="shared" ref="J11" si="12">K11/86400</f>
        <v>0.13585648148148149</v>
      </c>
      <c r="K11" s="23">
        <v>11738</v>
      </c>
      <c r="L11" s="23">
        <v>4.4656900000000004</v>
      </c>
      <c r="M11" s="23">
        <v>0.1</v>
      </c>
      <c r="N11" s="23">
        <v>100</v>
      </c>
      <c r="O11" s="23">
        <v>1.4</v>
      </c>
      <c r="P11" s="23">
        <v>4.2</v>
      </c>
      <c r="Q11" s="23">
        <v>13.1</v>
      </c>
      <c r="R11" s="23">
        <v>889.5</v>
      </c>
      <c r="S11" s="48">
        <v>142</v>
      </c>
      <c r="T11" s="48">
        <v>1575</v>
      </c>
      <c r="U11" s="69">
        <v>160.69999999999999</v>
      </c>
      <c r="V11" s="55">
        <v>1369.6</v>
      </c>
      <c r="W11" s="53">
        <v>1479.4</v>
      </c>
      <c r="X11" s="27">
        <v>10810.9141</v>
      </c>
      <c r="Y11" s="26">
        <f t="shared" si="9"/>
        <v>7.3076342436122745</v>
      </c>
      <c r="AA11" s="12" t="str">
        <f t="shared" ref="AA11" si="13">CONCATENATE(B11,"/",$B$17)</f>
        <v>2*Turin/Max28</v>
      </c>
      <c r="AB11" s="21">
        <f t="shared" ref="AB11" si="14">W11/W$17</f>
        <v>4.2280651614747073</v>
      </c>
      <c r="AC11" s="21">
        <f t="shared" ref="AC11" si="15">X11/X$17</f>
        <v>5.2275001379295407</v>
      </c>
      <c r="AD11" s="21">
        <f t="shared" ref="AD11" si="16">Y11/Y$17</f>
        <v>1.2363811668659903</v>
      </c>
      <c r="AE11" s="19"/>
      <c r="AF11" s="63">
        <f t="shared" ref="AF11" si="17">X11/V11</f>
        <v>7.893482841705608</v>
      </c>
      <c r="AH11" s="71"/>
      <c r="AJ11" s="68" t="s">
        <v>85</v>
      </c>
    </row>
    <row r="12" spans="1:36" x14ac:dyDescent="0.3">
      <c r="A12" s="33" t="s">
        <v>26</v>
      </c>
      <c r="B12" s="33" t="s">
        <v>35</v>
      </c>
      <c r="C12" s="22" t="s">
        <v>33</v>
      </c>
      <c r="D12" s="23" t="s">
        <v>73</v>
      </c>
      <c r="E12" s="23">
        <f>200</f>
        <v>200</v>
      </c>
      <c r="F12" s="23" t="s">
        <v>13</v>
      </c>
      <c r="G12" s="23" t="s">
        <v>51</v>
      </c>
      <c r="H12" s="23" t="s">
        <v>19</v>
      </c>
      <c r="I12" s="23">
        <v>128</v>
      </c>
      <c r="J12" s="24">
        <f t="shared" si="10"/>
        <v>0.1776851851851852</v>
      </c>
      <c r="K12" s="25">
        <v>15352</v>
      </c>
      <c r="L12" s="25">
        <v>1.23078</v>
      </c>
      <c r="M12" s="25">
        <v>0.2</v>
      </c>
      <c r="N12" s="25">
        <v>100</v>
      </c>
      <c r="O12" s="25">
        <v>1.3</v>
      </c>
      <c r="P12" s="25">
        <v>3.1</v>
      </c>
      <c r="Q12" s="25">
        <v>2.7</v>
      </c>
      <c r="R12" s="25">
        <v>206.8</v>
      </c>
      <c r="S12" s="50">
        <v>131</v>
      </c>
      <c r="T12" s="50">
        <v>399</v>
      </c>
      <c r="U12" s="57">
        <v>135.80000000000001</v>
      </c>
      <c r="V12" s="55">
        <v>288.60000000000002</v>
      </c>
      <c r="W12" s="55">
        <v>324.89999999999998</v>
      </c>
      <c r="X12" s="28">
        <v>1838.5244</v>
      </c>
      <c r="Y12" s="26">
        <f t="shared" si="9"/>
        <v>5.6587393044013545</v>
      </c>
      <c r="AA12" s="12" t="str">
        <f>CONCATENATE(B12,"/",$B$17)</f>
        <v>Siena/Max28</v>
      </c>
      <c r="AB12" s="21">
        <f t="shared" ref="AB12:AD17" si="18">W12/W$17</f>
        <v>0.92855101457559297</v>
      </c>
      <c r="AC12" s="21">
        <f t="shared" si="18"/>
        <v>0.88899851258524254</v>
      </c>
      <c r="AD12" s="21">
        <f t="shared" si="18"/>
        <v>0.95740406141451639</v>
      </c>
      <c r="AE12" s="19"/>
      <c r="AF12" s="63">
        <f t="shared" si="6"/>
        <v>6.3704934164934164</v>
      </c>
      <c r="AH12" s="71"/>
      <c r="AJ12" s="33" t="s">
        <v>35</v>
      </c>
    </row>
    <row r="13" spans="1:36" x14ac:dyDescent="0.3">
      <c r="A13" s="86" t="s">
        <v>26</v>
      </c>
      <c r="B13" s="86" t="s">
        <v>111</v>
      </c>
      <c r="C13" s="22" t="s">
        <v>105</v>
      </c>
      <c r="D13" s="23" t="s">
        <v>108</v>
      </c>
      <c r="E13" s="23">
        <f>2*400</f>
        <v>800</v>
      </c>
      <c r="F13" s="23" t="s">
        <v>13</v>
      </c>
      <c r="G13" s="23" t="s">
        <v>51</v>
      </c>
      <c r="H13" s="23" t="s">
        <v>20</v>
      </c>
      <c r="I13" s="23">
        <v>512</v>
      </c>
      <c r="J13" s="24"/>
      <c r="K13" s="25"/>
      <c r="L13" s="25"/>
      <c r="M13" s="25"/>
      <c r="N13" s="25"/>
      <c r="O13" s="25"/>
      <c r="P13" s="25">
        <v>3.7</v>
      </c>
      <c r="Q13" s="25"/>
      <c r="R13" s="25"/>
      <c r="S13" s="50"/>
      <c r="T13" s="50">
        <v>1781</v>
      </c>
      <c r="U13" s="50">
        <v>370</v>
      </c>
      <c r="V13" s="87">
        <f>1.42*E13</f>
        <v>1136</v>
      </c>
      <c r="W13" s="87">
        <f>1.6263*E13</f>
        <v>1301.04</v>
      </c>
      <c r="X13" s="28">
        <v>10089</v>
      </c>
      <c r="Y13" s="26">
        <f t="shared" si="9"/>
        <v>7.7545655783065861</v>
      </c>
      <c r="AA13" s="12" t="str">
        <f t="shared" ref="AA13:AA15" si="19">CONCATENATE(B13,"/",$B$17)</f>
        <v>2*Turin-D128/Max28</v>
      </c>
      <c r="AB13" s="21">
        <f t="shared" ref="AB13:AB15" si="20">W13/W$17</f>
        <v>3.7183195198628183</v>
      </c>
      <c r="AC13" s="21">
        <f t="shared" si="18"/>
        <v>4.8784264127647763</v>
      </c>
      <c r="AD13" s="21">
        <f t="shared" si="18"/>
        <v>1.3119976340668966</v>
      </c>
      <c r="AE13" s="19"/>
      <c r="AF13" s="63">
        <f t="shared" si="6"/>
        <v>8.881161971830986</v>
      </c>
      <c r="AH13" s="71"/>
      <c r="AI13" t="s">
        <v>115</v>
      </c>
      <c r="AJ13" s="86" t="s">
        <v>114</v>
      </c>
    </row>
    <row r="14" spans="1:36" x14ac:dyDescent="0.3">
      <c r="A14" s="86" t="s">
        <v>26</v>
      </c>
      <c r="B14" s="86" t="s">
        <v>112</v>
      </c>
      <c r="C14" s="22" t="s">
        <v>106</v>
      </c>
      <c r="D14" s="23" t="s">
        <v>109</v>
      </c>
      <c r="E14" s="23">
        <f>2*390</f>
        <v>780</v>
      </c>
      <c r="F14" s="23" t="s">
        <v>13</v>
      </c>
      <c r="G14" s="23" t="s">
        <v>51</v>
      </c>
      <c r="H14" s="23" t="s">
        <v>20</v>
      </c>
      <c r="I14" s="23">
        <v>640</v>
      </c>
      <c r="J14" s="24"/>
      <c r="K14" s="25"/>
      <c r="L14" s="25"/>
      <c r="M14" s="25"/>
      <c r="N14" s="25"/>
      <c r="O14" s="25"/>
      <c r="P14" s="25">
        <v>3.7</v>
      </c>
      <c r="Q14" s="25"/>
      <c r="R14" s="25"/>
      <c r="S14" s="50"/>
      <c r="T14" s="50">
        <v>1811</v>
      </c>
      <c r="U14" s="50">
        <v>393</v>
      </c>
      <c r="V14" s="87">
        <f t="shared" ref="V14:V15" si="21">1.42*E14</f>
        <v>1107.5999999999999</v>
      </c>
      <c r="W14" s="87">
        <f t="shared" ref="W14:W15" si="22">1.6263*E14</f>
        <v>1268.5140000000001</v>
      </c>
      <c r="X14" s="28">
        <v>11034</v>
      </c>
      <c r="Y14" s="26">
        <f t="shared" si="9"/>
        <v>8.698366750386672</v>
      </c>
      <c r="AA14" s="12" t="str">
        <f t="shared" si="19"/>
        <v>2*Turin-D160/Max28</v>
      </c>
      <c r="AB14" s="21">
        <f t="shared" si="20"/>
        <v>3.6253615318662482</v>
      </c>
      <c r="AC14" s="21">
        <f t="shared" si="18"/>
        <v>5.3353709028096485</v>
      </c>
      <c r="AD14" s="21">
        <f t="shared" si="18"/>
        <v>1.47167968102291</v>
      </c>
      <c r="AE14" s="19"/>
      <c r="AF14" s="63">
        <f t="shared" si="6"/>
        <v>9.9620801733477791</v>
      </c>
      <c r="AH14" s="71"/>
      <c r="AI14" t="s">
        <v>115</v>
      </c>
      <c r="AJ14" s="86" t="s">
        <v>114</v>
      </c>
    </row>
    <row r="15" spans="1:36" x14ac:dyDescent="0.3">
      <c r="A15" s="86" t="s">
        <v>26</v>
      </c>
      <c r="B15" s="86" t="s">
        <v>113</v>
      </c>
      <c r="C15" s="22" t="s">
        <v>107</v>
      </c>
      <c r="D15" s="23" t="s">
        <v>110</v>
      </c>
      <c r="E15" s="23">
        <f>2*500</f>
        <v>1000</v>
      </c>
      <c r="F15" s="23" t="s">
        <v>13</v>
      </c>
      <c r="G15" s="23" t="s">
        <v>51</v>
      </c>
      <c r="H15" s="23" t="s">
        <v>20</v>
      </c>
      <c r="I15" s="23">
        <v>768</v>
      </c>
      <c r="J15" s="24"/>
      <c r="K15" s="25"/>
      <c r="L15" s="25"/>
      <c r="M15" s="25"/>
      <c r="N15" s="25"/>
      <c r="O15" s="25"/>
      <c r="P15" s="25">
        <v>3.35</v>
      </c>
      <c r="Q15" s="25"/>
      <c r="R15" s="25"/>
      <c r="S15" s="50"/>
      <c r="T15" s="50">
        <v>2049</v>
      </c>
      <c r="U15" s="50">
        <v>431</v>
      </c>
      <c r="V15" s="87">
        <f t="shared" si="21"/>
        <v>1420</v>
      </c>
      <c r="W15" s="87">
        <f t="shared" si="22"/>
        <v>1626.3000000000002</v>
      </c>
      <c r="X15" s="28">
        <v>14187</v>
      </c>
      <c r="Y15" s="26">
        <f t="shared" si="9"/>
        <v>8.7234827522597289</v>
      </c>
      <c r="AA15" s="12" t="str">
        <f t="shared" si="19"/>
        <v>2*Turin-D192/Max28</v>
      </c>
      <c r="AB15" s="21">
        <f t="shared" si="20"/>
        <v>4.647899399828523</v>
      </c>
      <c r="AC15" s="21">
        <f t="shared" si="18"/>
        <v>6.8599698203879349</v>
      </c>
      <c r="AD15" s="21">
        <f t="shared" si="18"/>
        <v>1.4759290660725193</v>
      </c>
      <c r="AE15" s="19"/>
      <c r="AF15" s="63">
        <f t="shared" si="6"/>
        <v>9.9908450704225356</v>
      </c>
      <c r="AH15" s="71"/>
      <c r="AI15" t="s">
        <v>115</v>
      </c>
      <c r="AJ15" s="86" t="s">
        <v>114</v>
      </c>
    </row>
    <row r="16" spans="1:36" x14ac:dyDescent="0.3">
      <c r="A16" s="34" t="s">
        <v>54</v>
      </c>
      <c r="B16" s="34" t="s">
        <v>36</v>
      </c>
      <c r="C16" s="22" t="s">
        <v>21</v>
      </c>
      <c r="D16" s="23" t="s">
        <v>25</v>
      </c>
      <c r="E16" s="23">
        <f>210</f>
        <v>210</v>
      </c>
      <c r="F16" s="23" t="s">
        <v>26</v>
      </c>
      <c r="G16" s="23" t="s">
        <v>51</v>
      </c>
      <c r="H16" s="23" t="s">
        <v>18</v>
      </c>
      <c r="I16" s="23">
        <v>80</v>
      </c>
      <c r="J16" s="24">
        <f t="shared" si="10"/>
        <v>0.13817129629629629</v>
      </c>
      <c r="K16" s="23">
        <v>11938</v>
      </c>
      <c r="L16" s="23">
        <v>0.89617000000000002</v>
      </c>
      <c r="M16" s="23">
        <v>0.2</v>
      </c>
      <c r="N16" s="23">
        <v>100</v>
      </c>
      <c r="O16" s="23">
        <v>2</v>
      </c>
      <c r="P16" s="23">
        <v>3</v>
      </c>
      <c r="Q16" s="23">
        <v>3.7</v>
      </c>
      <c r="R16" s="23">
        <v>213.1</v>
      </c>
      <c r="S16" s="48">
        <v>96</v>
      </c>
      <c r="T16" s="72">
        <f>352+AH16</f>
        <v>346.53793103448277</v>
      </c>
      <c r="U16" s="57">
        <v>108.3</v>
      </c>
      <c r="V16" s="73">
        <f>270.2+AH16</f>
        <v>264.73793103448276</v>
      </c>
      <c r="W16" s="73">
        <f>309.9+AH16</f>
        <v>304.43793103448274</v>
      </c>
      <c r="X16" s="27">
        <v>1512.5914</v>
      </c>
      <c r="Y16" s="26">
        <f t="shared" si="9"/>
        <v>4.968472209951635</v>
      </c>
      <c r="AA16" s="12" t="str">
        <f>CONCATENATE(B16,"/",$B$17)</f>
        <v>Q80/Max28</v>
      </c>
      <c r="AB16" s="21">
        <f t="shared" si="18"/>
        <v>0.87007125188477497</v>
      </c>
      <c r="AC16" s="21">
        <f t="shared" si="18"/>
        <v>0.73139714912090903</v>
      </c>
      <c r="AD16" s="21">
        <f t="shared" si="18"/>
        <v>0.84061753280151952</v>
      </c>
      <c r="AE16" s="19"/>
      <c r="AF16" s="63">
        <f t="shared" si="6"/>
        <v>5.7135424232161931</v>
      </c>
      <c r="AH16" s="71">
        <v>-5.4620689655172399</v>
      </c>
      <c r="AJ16" s="34" t="s">
        <v>36</v>
      </c>
    </row>
    <row r="17" spans="1:36" x14ac:dyDescent="0.3">
      <c r="A17" s="36" t="s">
        <v>26</v>
      </c>
      <c r="B17" s="36" t="s">
        <v>67</v>
      </c>
      <c r="C17" s="22" t="s">
        <v>76</v>
      </c>
      <c r="D17" s="23" t="s">
        <v>64</v>
      </c>
      <c r="E17" s="23">
        <f>230</f>
        <v>230</v>
      </c>
      <c r="F17" s="23" t="s">
        <v>26</v>
      </c>
      <c r="G17" s="23" t="s">
        <v>51</v>
      </c>
      <c r="H17" s="23" t="s">
        <v>18</v>
      </c>
      <c r="I17" s="23">
        <v>128</v>
      </c>
      <c r="J17" s="24">
        <f t="shared" si="10"/>
        <v>0.17289351851851853</v>
      </c>
      <c r="K17" s="23">
        <v>14938</v>
      </c>
      <c r="L17" s="23">
        <v>1.1995899999999999</v>
      </c>
      <c r="M17" s="23">
        <v>0.3</v>
      </c>
      <c r="N17" s="23">
        <v>100</v>
      </c>
      <c r="O17" s="23">
        <v>1</v>
      </c>
      <c r="P17" s="23">
        <v>2.8</v>
      </c>
      <c r="Q17" s="23">
        <v>4.9000000000000004</v>
      </c>
      <c r="R17" s="23">
        <v>434.4</v>
      </c>
      <c r="S17" s="48">
        <v>81</v>
      </c>
      <c r="T17" s="48">
        <v>373</v>
      </c>
      <c r="U17" s="57">
        <v>86.2</v>
      </c>
      <c r="V17" s="53">
        <v>289.10000000000002</v>
      </c>
      <c r="W17" s="53">
        <v>349.9</v>
      </c>
      <c r="X17" s="27">
        <v>2068.0848999999998</v>
      </c>
      <c r="Y17" s="26">
        <f t="shared" si="9"/>
        <v>5.9105027150614458</v>
      </c>
      <c r="AA17" s="12" t="str">
        <f>CONCATENATE(B17,"/",$B$17)</f>
        <v>Max28/Max28</v>
      </c>
      <c r="AB17" s="21">
        <f t="shared" si="18"/>
        <v>1</v>
      </c>
      <c r="AC17" s="21">
        <f t="shared" si="18"/>
        <v>1</v>
      </c>
      <c r="AD17" s="21">
        <f t="shared" si="18"/>
        <v>1</v>
      </c>
      <c r="AE17" s="19"/>
      <c r="AF17" s="63">
        <f t="shared" si="6"/>
        <v>7.1535278450363187</v>
      </c>
      <c r="AH17" s="71"/>
      <c r="AJ17" s="36" t="s">
        <v>67</v>
      </c>
    </row>
    <row r="18" spans="1:36" x14ac:dyDescent="0.3">
      <c r="A18" s="36" t="s">
        <v>68</v>
      </c>
      <c r="B18" s="36" t="s">
        <v>66</v>
      </c>
      <c r="C18" s="22" t="s">
        <v>22</v>
      </c>
      <c r="D18" s="23" t="s">
        <v>65</v>
      </c>
      <c r="E18" s="23">
        <f>250</f>
        <v>250</v>
      </c>
      <c r="F18" s="23" t="s">
        <v>26</v>
      </c>
      <c r="G18" s="23" t="s">
        <v>51</v>
      </c>
      <c r="H18" s="23" t="s">
        <v>18</v>
      </c>
      <c r="I18" s="23">
        <v>128</v>
      </c>
      <c r="J18" s="24">
        <f t="shared" ref="J18" si="23">K18/86400</f>
        <v>0.16304398148148147</v>
      </c>
      <c r="K18" s="23">
        <v>14087</v>
      </c>
      <c r="L18" s="23">
        <v>1.3809100000000001</v>
      </c>
      <c r="M18" s="23">
        <v>0.3</v>
      </c>
      <c r="N18" s="23">
        <v>100</v>
      </c>
      <c r="O18" s="23">
        <v>1</v>
      </c>
      <c r="P18" s="23">
        <v>3</v>
      </c>
      <c r="Q18" s="23">
        <v>5</v>
      </c>
      <c r="R18" s="23">
        <v>406.7</v>
      </c>
      <c r="S18" s="48">
        <v>108</v>
      </c>
      <c r="T18" s="72">
        <f>444+AH18</f>
        <v>449.81818181818181</v>
      </c>
      <c r="U18" s="57">
        <v>116</v>
      </c>
      <c r="V18" s="73">
        <f>352.9+AH18</f>
        <v>358.71818181818179</v>
      </c>
      <c r="W18" s="73">
        <f>424.1+AH18</f>
        <v>429.91818181818184</v>
      </c>
      <c r="X18" s="27">
        <v>2121.2939000000001</v>
      </c>
      <c r="Y18" s="26">
        <f t="shared" ref="Y18" si="24">X18/W18</f>
        <v>4.9341804783151133</v>
      </c>
      <c r="AA18" s="12" t="str">
        <f t="shared" ref="AA18" si="25">CONCATENATE(B18,"/",$B$17)</f>
        <v>Max30/Max28</v>
      </c>
      <c r="AB18" s="21">
        <f t="shared" ref="AB18" si="26">W18/W$17</f>
        <v>1.2286887162565929</v>
      </c>
      <c r="AC18" s="21">
        <f t="shared" ref="AC18" si="27">X18/X$17</f>
        <v>1.0257286342548124</v>
      </c>
      <c r="AD18" s="21">
        <f t="shared" ref="AD18" si="28">Y18/Y$17</f>
        <v>0.83481570285748818</v>
      </c>
      <c r="AE18" s="19"/>
      <c r="AF18" s="63">
        <f t="shared" ref="AF18" si="29">X18/V18</f>
        <v>5.9135388377809885</v>
      </c>
      <c r="AH18" s="71">
        <v>5.8181818181818103</v>
      </c>
      <c r="AJ18" s="36" t="s">
        <v>66</v>
      </c>
    </row>
    <row r="19" spans="1:36" x14ac:dyDescent="0.3">
      <c r="A19" s="40" t="s">
        <v>63</v>
      </c>
      <c r="B19" s="40" t="s">
        <v>41</v>
      </c>
      <c r="C19" s="37" t="s">
        <v>42</v>
      </c>
      <c r="D19" s="38" t="s">
        <v>43</v>
      </c>
      <c r="E19" s="38">
        <f>500</f>
        <v>500</v>
      </c>
      <c r="F19" s="23" t="s">
        <v>26</v>
      </c>
      <c r="G19" s="23" t="s">
        <v>51</v>
      </c>
      <c r="H19" s="23" t="s">
        <v>31</v>
      </c>
      <c r="I19" s="38">
        <v>144</v>
      </c>
      <c r="J19" s="24">
        <f t="shared" si="10"/>
        <v>0.10520833333333333</v>
      </c>
      <c r="K19" s="38">
        <v>9090</v>
      </c>
      <c r="L19" s="38">
        <v>1.49715</v>
      </c>
      <c r="M19" s="38">
        <v>0.3</v>
      </c>
      <c r="N19" s="38">
        <v>100</v>
      </c>
      <c r="O19" s="38">
        <v>0.1</v>
      </c>
      <c r="P19" s="38">
        <v>3.4</v>
      </c>
      <c r="Q19" s="38">
        <v>5.6</v>
      </c>
      <c r="R19" s="38">
        <v>283.89999999999998</v>
      </c>
      <c r="S19" s="51">
        <v>157</v>
      </c>
      <c r="T19" s="74">
        <f>862+AH19</f>
        <v>882.0593220338983</v>
      </c>
      <c r="U19" s="59">
        <v>187</v>
      </c>
      <c r="V19" s="75">
        <f>592.9+AH19</f>
        <v>612.95932203389827</v>
      </c>
      <c r="W19" s="75">
        <f>835.2+AH19</f>
        <v>855.25932203389834</v>
      </c>
      <c r="X19" s="39">
        <v>4205.4335000000001</v>
      </c>
      <c r="Y19" s="26">
        <f t="shared" si="9"/>
        <v>4.9171442995780836</v>
      </c>
      <c r="AA19" s="12" t="str">
        <f>CONCATENATE(B19,"/",$B$17)</f>
        <v>Grace/Max28</v>
      </c>
      <c r="AB19" s="21">
        <f t="shared" ref="AB19" si="30">W19/W$17</f>
        <v>2.4442964333635278</v>
      </c>
      <c r="AC19" s="21">
        <f t="shared" ref="AC19" si="31">X19/X$17</f>
        <v>2.0334917101324033</v>
      </c>
      <c r="AD19" s="21">
        <f t="shared" ref="AD19" si="32">Y19/Y$17</f>
        <v>0.831933345880709</v>
      </c>
      <c r="AE19" s="19"/>
      <c r="AF19" s="63">
        <f t="shared" si="6"/>
        <v>6.860868819232067</v>
      </c>
      <c r="AH19" s="71">
        <v>20.059322033898301</v>
      </c>
      <c r="AI19" s="70" t="s">
        <v>28</v>
      </c>
      <c r="AJ19" s="40" t="s">
        <v>41</v>
      </c>
    </row>
    <row r="20" spans="1:36" x14ac:dyDescent="0.3">
      <c r="A20" s="67" t="s">
        <v>26</v>
      </c>
      <c r="B20" s="67" t="s">
        <v>82</v>
      </c>
      <c r="C20" s="37" t="s">
        <v>83</v>
      </c>
      <c r="D20" s="38" t="s">
        <v>84</v>
      </c>
      <c r="E20" s="38">
        <f>400</f>
        <v>400</v>
      </c>
      <c r="F20" s="23" t="s">
        <v>26</v>
      </c>
      <c r="G20" s="23" t="s">
        <v>51</v>
      </c>
      <c r="H20" s="23" t="s">
        <v>18</v>
      </c>
      <c r="I20" s="23">
        <v>192</v>
      </c>
      <c r="J20" s="24">
        <f t="shared" si="10"/>
        <v>0.15916666666666668</v>
      </c>
      <c r="K20" s="38">
        <v>13752</v>
      </c>
      <c r="L20" s="38">
        <v>1.80318</v>
      </c>
      <c r="M20" s="38">
        <v>0.2</v>
      </c>
      <c r="N20" s="38">
        <v>100</v>
      </c>
      <c r="O20" s="38">
        <v>1</v>
      </c>
      <c r="P20" s="38">
        <v>3.2</v>
      </c>
      <c r="Q20" s="38">
        <v>8.6</v>
      </c>
      <c r="R20" s="38">
        <v>512.20000000000005</v>
      </c>
      <c r="S20" s="51">
        <v>211</v>
      </c>
      <c r="T20" s="74">
        <f>645+AH20</f>
        <v>639.84</v>
      </c>
      <c r="U20" s="59">
        <v>214.5</v>
      </c>
      <c r="V20" s="75">
        <f>472+AH20</f>
        <v>466.84</v>
      </c>
      <c r="W20" s="75">
        <f>550.9+AH20</f>
        <v>545.74</v>
      </c>
      <c r="X20" s="39">
        <v>3342.4965000000002</v>
      </c>
      <c r="Y20" s="26">
        <f t="shared" si="9"/>
        <v>6.1247049877230921</v>
      </c>
      <c r="AA20" s="12" t="str">
        <f t="shared" ref="AA20" si="33">CONCATENATE(B20,"/",$B$17)</f>
        <v>AmperOne/Max28</v>
      </c>
      <c r="AB20" s="21">
        <f t="shared" ref="AB20" si="34">W20/W$17</f>
        <v>1.5597027722206347</v>
      </c>
      <c r="AC20" s="21">
        <f t="shared" ref="AC20" si="35">X20/X$17</f>
        <v>1.6162278927717137</v>
      </c>
      <c r="AD20" s="21">
        <f t="shared" ref="AD20" si="36">Y20/Y$17</f>
        <v>1.0362409566475292</v>
      </c>
      <c r="AE20" s="19"/>
      <c r="AF20" s="63">
        <f t="shared" ref="AF20" si="37">X20/V20</f>
        <v>7.1598331334075924</v>
      </c>
      <c r="AH20" s="71">
        <v>-5.16</v>
      </c>
      <c r="AJ20" s="67" t="s">
        <v>82</v>
      </c>
    </row>
    <row r="21" spans="1:36" ht="15" thickBot="1" x14ac:dyDescent="0.35">
      <c r="A21" s="35" t="s">
        <v>46</v>
      </c>
      <c r="B21" s="35" t="s">
        <v>38</v>
      </c>
      <c r="C21" s="6" t="s">
        <v>30</v>
      </c>
      <c r="D21" s="7" t="s">
        <v>29</v>
      </c>
      <c r="E21" s="7">
        <f>2*210</f>
        <v>420</v>
      </c>
      <c r="F21" s="7" t="s">
        <v>26</v>
      </c>
      <c r="G21" s="7" t="s">
        <v>51</v>
      </c>
      <c r="H21" s="7" t="s">
        <v>31</v>
      </c>
      <c r="I21" s="7">
        <v>160</v>
      </c>
      <c r="J21" s="8">
        <f t="shared" ref="J21" si="38">K21/86400</f>
        <v>0.19451388888888888</v>
      </c>
      <c r="K21" s="7">
        <v>16806</v>
      </c>
      <c r="L21" s="7">
        <v>1.99072</v>
      </c>
      <c r="M21" s="7">
        <v>0.4</v>
      </c>
      <c r="N21" s="7">
        <v>100</v>
      </c>
      <c r="O21" s="7">
        <v>1</v>
      </c>
      <c r="P21" s="7">
        <v>3</v>
      </c>
      <c r="Q21" s="7">
        <v>5.9</v>
      </c>
      <c r="R21" s="7">
        <v>344.4</v>
      </c>
      <c r="S21" s="52">
        <v>176</v>
      </c>
      <c r="T21" s="52">
        <v>576</v>
      </c>
      <c r="U21" s="60" t="s">
        <v>52</v>
      </c>
      <c r="V21" s="56">
        <v>426.4</v>
      </c>
      <c r="W21" s="56">
        <v>538.5</v>
      </c>
      <c r="X21" s="29">
        <v>2520.5962</v>
      </c>
      <c r="Y21" s="11">
        <f t="shared" ref="Y21" si="39">X21/W21</f>
        <v>4.6807728876508818</v>
      </c>
      <c r="AA21" s="12" t="str">
        <f>CONCATENATE(B21,"/",$B$17)</f>
        <v>2*Q80/Max28</v>
      </c>
      <c r="AB21" s="21">
        <f>W21/W$17</f>
        <v>1.5390111460417264</v>
      </c>
      <c r="AC21" s="21">
        <f>X21/X$17</f>
        <v>1.2188069261566583</v>
      </c>
      <c r="AD21" s="21">
        <f>Y21/Y$17</f>
        <v>0.79194158488804967</v>
      </c>
      <c r="AE21" s="19"/>
      <c r="AF21" s="64">
        <f t="shared" si="6"/>
        <v>5.9113419324577867</v>
      </c>
      <c r="AH21" s="71"/>
      <c r="AI21" s="70" t="s">
        <v>92</v>
      </c>
      <c r="AJ21" s="35" t="s">
        <v>38</v>
      </c>
    </row>
    <row r="23" spans="1:36" ht="14.4" customHeight="1" x14ac:dyDescent="0.3"/>
    <row r="24" spans="1:36" ht="14.4" customHeight="1" x14ac:dyDescent="0.3">
      <c r="W24" s="20"/>
      <c r="X24" s="9"/>
      <c r="Y24" s="9"/>
      <c r="Z24" s="9"/>
    </row>
    <row r="25" spans="1:36" ht="14.4" customHeight="1" x14ac:dyDescent="0.3">
      <c r="W25" s="20"/>
      <c r="X25" s="9"/>
      <c r="Y25" s="9"/>
      <c r="Z25" s="9"/>
    </row>
    <row r="26" spans="1:36" x14ac:dyDescent="0.3">
      <c r="W26" s="20"/>
      <c r="X26" s="9"/>
      <c r="Y26" s="9"/>
      <c r="Z26" s="9"/>
    </row>
    <row r="27" spans="1:36" x14ac:dyDescent="0.3">
      <c r="W27" s="20"/>
      <c r="X27" s="9"/>
      <c r="Y27" s="9"/>
      <c r="Z27" s="9"/>
    </row>
    <row r="29" spans="1:36" x14ac:dyDescent="0.3">
      <c r="X29" s="9"/>
    </row>
    <row r="67" spans="22:27" x14ac:dyDescent="0.3">
      <c r="Y67">
        <v>1.4202999999999999</v>
      </c>
    </row>
    <row r="68" spans="22:27" ht="15" thickBot="1" x14ac:dyDescent="0.35"/>
    <row r="69" spans="22:27" ht="15" thickBot="1" x14ac:dyDescent="0.35">
      <c r="V69" s="1" t="s">
        <v>40</v>
      </c>
      <c r="W69" s="14" t="s">
        <v>99</v>
      </c>
      <c r="X69" s="16" t="s">
        <v>56</v>
      </c>
      <c r="Y69" t="s">
        <v>100</v>
      </c>
      <c r="AA69" t="s">
        <v>101</v>
      </c>
    </row>
    <row r="70" spans="22:27" x14ac:dyDescent="0.3">
      <c r="V70" s="44" t="s">
        <v>98</v>
      </c>
      <c r="W70" s="4">
        <f>2*85</f>
        <v>170</v>
      </c>
      <c r="X70" s="78">
        <v>180.7</v>
      </c>
      <c r="Y70" s="61">
        <f>$Y$67*W70</f>
        <v>241.45099999999999</v>
      </c>
      <c r="AA70" s="85">
        <f t="shared" ref="AA70:AA85" si="40">X70-Y70</f>
        <v>-60.751000000000005</v>
      </c>
    </row>
    <row r="71" spans="22:27" x14ac:dyDescent="0.3">
      <c r="V71" s="81" t="s">
        <v>70</v>
      </c>
      <c r="W71" s="23">
        <f>2*85</f>
        <v>170</v>
      </c>
      <c r="X71" s="50">
        <f>183.9+AJ71</f>
        <v>183.9</v>
      </c>
      <c r="Y71" s="61">
        <f t="shared" ref="Y71:Y85" si="41">$Y$67*W71</f>
        <v>241.45099999999999</v>
      </c>
      <c r="AA71" s="85">
        <f t="shared" si="40"/>
        <v>-57.550999999999988</v>
      </c>
    </row>
    <row r="72" spans="22:27" x14ac:dyDescent="0.3">
      <c r="V72" s="30" t="s">
        <v>34</v>
      </c>
      <c r="W72" s="23">
        <f>225</f>
        <v>225</v>
      </c>
      <c r="X72" s="50">
        <f>365.5+AJ72</f>
        <v>365.5</v>
      </c>
      <c r="Y72" s="61">
        <f t="shared" si="41"/>
        <v>319.5675</v>
      </c>
      <c r="AA72" s="85">
        <f t="shared" si="40"/>
        <v>45.932500000000005</v>
      </c>
    </row>
    <row r="73" spans="22:27" x14ac:dyDescent="0.3">
      <c r="V73" s="65" t="s">
        <v>90</v>
      </c>
      <c r="W73" s="23">
        <f>2*200</f>
        <v>400</v>
      </c>
      <c r="X73" s="50">
        <v>692.3</v>
      </c>
      <c r="Y73" s="61">
        <f t="shared" si="41"/>
        <v>568.12</v>
      </c>
      <c r="AA73" s="85">
        <f t="shared" si="40"/>
        <v>124.17999999999995</v>
      </c>
    </row>
    <row r="74" spans="22:27" x14ac:dyDescent="0.3">
      <c r="V74" s="43" t="s">
        <v>69</v>
      </c>
      <c r="W74" s="23">
        <f>2*155</f>
        <v>310</v>
      </c>
      <c r="X74" s="83">
        <v>350.6</v>
      </c>
      <c r="Y74" s="61">
        <f t="shared" si="41"/>
        <v>440.29299999999995</v>
      </c>
      <c r="AA74" s="85">
        <f t="shared" si="40"/>
        <v>-89.692999999999927</v>
      </c>
    </row>
    <row r="75" spans="22:27" x14ac:dyDescent="0.3">
      <c r="V75" s="31" t="s">
        <v>37</v>
      </c>
      <c r="W75" s="23">
        <f>2*200</f>
        <v>400</v>
      </c>
      <c r="X75" s="50">
        <v>449.7</v>
      </c>
      <c r="Y75" s="61">
        <f t="shared" si="41"/>
        <v>568.12</v>
      </c>
      <c r="AA75" s="85">
        <f t="shared" si="40"/>
        <v>-118.42000000000002</v>
      </c>
    </row>
    <row r="76" spans="22:27" x14ac:dyDescent="0.3">
      <c r="V76" s="32" t="s">
        <v>39</v>
      </c>
      <c r="W76" s="23">
        <f>2*360</f>
        <v>720</v>
      </c>
      <c r="X76" s="50">
        <v>1197.5999999999999</v>
      </c>
      <c r="Y76" s="61">
        <f t="shared" si="41"/>
        <v>1022.6159999999999</v>
      </c>
      <c r="AA76" s="85">
        <f t="shared" si="40"/>
        <v>174.98400000000004</v>
      </c>
    </row>
    <row r="77" spans="22:27" x14ac:dyDescent="0.3">
      <c r="V77" s="66" t="s">
        <v>80</v>
      </c>
      <c r="W77" s="23">
        <f>2*340</f>
        <v>680</v>
      </c>
      <c r="X77" s="50">
        <v>1162.4000000000001</v>
      </c>
      <c r="Y77" s="61">
        <f t="shared" si="41"/>
        <v>965.80399999999997</v>
      </c>
      <c r="AA77" s="85">
        <f t="shared" si="40"/>
        <v>196.59600000000012</v>
      </c>
    </row>
    <row r="78" spans="22:27" x14ac:dyDescent="0.3">
      <c r="V78" s="68" t="s">
        <v>85</v>
      </c>
      <c r="W78" s="23">
        <f>2*500</f>
        <v>1000</v>
      </c>
      <c r="X78" s="50">
        <v>1369.6</v>
      </c>
      <c r="Y78" s="61">
        <f t="shared" si="41"/>
        <v>1420.3</v>
      </c>
      <c r="AA78" s="85">
        <f t="shared" si="40"/>
        <v>-50.700000000000045</v>
      </c>
    </row>
    <row r="79" spans="22:27" x14ac:dyDescent="0.3">
      <c r="V79" s="33" t="s">
        <v>35</v>
      </c>
      <c r="W79" s="23">
        <f>200</f>
        <v>200</v>
      </c>
      <c r="X79" s="50">
        <v>288.60000000000002</v>
      </c>
      <c r="Y79" s="61">
        <f t="shared" si="41"/>
        <v>284.06</v>
      </c>
      <c r="AA79" s="85">
        <f t="shared" si="40"/>
        <v>4.5400000000000205</v>
      </c>
    </row>
    <row r="80" spans="22:27" x14ac:dyDescent="0.3">
      <c r="V80" s="34" t="s">
        <v>36</v>
      </c>
      <c r="W80" s="23">
        <f>210</f>
        <v>210</v>
      </c>
      <c r="X80" s="50">
        <f>270.2+AJ80</f>
        <v>270.2</v>
      </c>
      <c r="Y80" s="61">
        <f t="shared" si="41"/>
        <v>298.26299999999998</v>
      </c>
      <c r="AA80" s="85">
        <f t="shared" si="40"/>
        <v>-28.062999999999988</v>
      </c>
    </row>
    <row r="81" spans="22:27" x14ac:dyDescent="0.3">
      <c r="V81" s="36" t="s">
        <v>67</v>
      </c>
      <c r="W81" s="23">
        <f>230</f>
        <v>230</v>
      </c>
      <c r="X81" s="50">
        <v>289.10000000000002</v>
      </c>
      <c r="Y81" s="61">
        <f t="shared" si="41"/>
        <v>326.66899999999998</v>
      </c>
      <c r="AA81" s="85">
        <f t="shared" si="40"/>
        <v>-37.56899999999996</v>
      </c>
    </row>
    <row r="82" spans="22:27" x14ac:dyDescent="0.3">
      <c r="V82" s="36" t="s">
        <v>66</v>
      </c>
      <c r="W82" s="23">
        <f>250</f>
        <v>250</v>
      </c>
      <c r="X82" s="50">
        <f>352.9+AJ82</f>
        <v>352.9</v>
      </c>
      <c r="Y82" s="61">
        <f t="shared" si="41"/>
        <v>355.07499999999999</v>
      </c>
      <c r="AA82" s="85">
        <f t="shared" si="40"/>
        <v>-2.1750000000000114</v>
      </c>
    </row>
    <row r="83" spans="22:27" x14ac:dyDescent="0.3">
      <c r="V83" s="40" t="s">
        <v>41</v>
      </c>
      <c r="W83" s="38">
        <f>500</f>
        <v>500</v>
      </c>
      <c r="X83" s="84">
        <f>592.9+AJ83</f>
        <v>592.9</v>
      </c>
      <c r="Y83" s="61">
        <f t="shared" si="41"/>
        <v>710.15</v>
      </c>
      <c r="AA83" s="85">
        <f t="shared" si="40"/>
        <v>-117.25</v>
      </c>
    </row>
    <row r="84" spans="22:27" x14ac:dyDescent="0.3">
      <c r="V84" s="67" t="s">
        <v>82</v>
      </c>
      <c r="W84" s="38">
        <f>400</f>
        <v>400</v>
      </c>
      <c r="X84" s="84">
        <f>472+AJ84</f>
        <v>472</v>
      </c>
      <c r="Y84" s="61">
        <f t="shared" si="41"/>
        <v>568.12</v>
      </c>
      <c r="AA84" s="85">
        <f t="shared" si="40"/>
        <v>-96.12</v>
      </c>
    </row>
    <row r="85" spans="22:27" ht="15" thickBot="1" x14ac:dyDescent="0.35">
      <c r="V85" s="35" t="s">
        <v>38</v>
      </c>
      <c r="W85" s="7">
        <f>2*210</f>
        <v>420</v>
      </c>
      <c r="X85" s="82">
        <v>426.4</v>
      </c>
      <c r="Y85" s="61">
        <f t="shared" si="41"/>
        <v>596.52599999999995</v>
      </c>
      <c r="AA85" s="85">
        <f t="shared" si="40"/>
        <v>-170.12599999999998</v>
      </c>
    </row>
    <row r="87" spans="22:27" x14ac:dyDescent="0.3">
      <c r="V87" t="s">
        <v>102</v>
      </c>
      <c r="W87">
        <f>_xlfn.COVARIANCE.P(W70:W85,X70:X85)</f>
        <v>79368.6953125</v>
      </c>
      <c r="X87" t="s">
        <v>104</v>
      </c>
    </row>
    <row r="88" spans="22:27" x14ac:dyDescent="0.3">
      <c r="V88" t="s">
        <v>103</v>
      </c>
      <c r="W88">
        <f>_xlfn.VAR.P(W70:W85)</f>
        <v>51399.90234375</v>
      </c>
      <c r="X88" t="s">
        <v>104</v>
      </c>
    </row>
  </sheetData>
  <phoneticPr fontId="5" type="noConversion"/>
  <conditionalFormatting sqref="Y3:Y21">
    <cfRule type="colorScale" priority="6">
      <colorScale>
        <cfvo type="min"/>
        <cfvo type="max"/>
        <color rgb="FFFFEF9C"/>
        <color rgb="FF63BE7B"/>
      </colorScale>
    </cfRule>
  </conditionalFormatting>
  <conditionalFormatting sqref="AB3:AB21">
    <cfRule type="colorScale" priority="4">
      <colorScale>
        <cfvo type="min"/>
        <cfvo type="max"/>
        <color rgb="FFFCFCFF"/>
        <color rgb="FFF8696B"/>
      </colorScale>
    </cfRule>
  </conditionalFormatting>
  <conditionalFormatting sqref="AC3:AC21">
    <cfRule type="colorScale" priority="3">
      <colorScale>
        <cfvo type="min"/>
        <cfvo type="max"/>
        <color rgb="FFFCFCFF"/>
        <color rgb="FF63BE7B"/>
      </colorScale>
    </cfRule>
  </conditionalFormatting>
  <conditionalFormatting sqref="AD3:AD2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3:AF21">
    <cfRule type="colorScale" priority="1">
      <colorScale>
        <cfvo type="min"/>
        <cfvo type="max"/>
        <color rgb="FFFFEF9C"/>
        <color rgb="FF63BE7B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1F549-4AF5-4151-84B2-E9883DC3BDC0}">
  <dimension ref="A1:AM21"/>
  <sheetViews>
    <sheetView zoomScale="80" zoomScaleNormal="80" workbookViewId="0"/>
  </sheetViews>
  <sheetFormatPr defaultRowHeight="14.4" x14ac:dyDescent="0.3"/>
  <cols>
    <col min="1" max="1" width="8.44140625" customWidth="1"/>
    <col min="2" max="2" width="12.44140625" customWidth="1"/>
    <col min="3" max="3" width="56" customWidth="1"/>
    <col min="4" max="4" width="18.33203125" customWidth="1"/>
    <col min="5" max="5" width="17" customWidth="1"/>
    <col min="6" max="6" width="8" customWidth="1"/>
    <col min="7" max="7" width="4.44140625" customWidth="1"/>
    <col min="9" max="9" width="7.88671875" customWidth="1"/>
    <col min="10" max="10" width="12.77734375" customWidth="1"/>
    <col min="11" max="11" width="10.109375" customWidth="1"/>
    <col min="12" max="12" width="4.33203125" customWidth="1"/>
    <col min="35" max="35" width="4.33203125" customWidth="1"/>
    <col min="36" max="38" width="14.88671875" customWidth="1"/>
    <col min="39" max="39" width="12.6640625" customWidth="1"/>
  </cols>
  <sheetData>
    <row r="1" spans="1:39" ht="15" thickBot="1" x14ac:dyDescent="0.35">
      <c r="C1" t="s">
        <v>166</v>
      </c>
      <c r="M1" t="s">
        <v>166</v>
      </c>
      <c r="Q1" t="s">
        <v>167</v>
      </c>
      <c r="AF1" t="s">
        <v>165</v>
      </c>
      <c r="AJ1" t="s">
        <v>164</v>
      </c>
    </row>
    <row r="2" spans="1:39" s="1" customFormat="1" ht="15" thickBot="1" x14ac:dyDescent="0.35">
      <c r="A2" s="1" t="s">
        <v>61</v>
      </c>
      <c r="B2" s="13" t="s">
        <v>132</v>
      </c>
      <c r="C2" s="18" t="s">
        <v>131</v>
      </c>
      <c r="D2" s="18" t="s">
        <v>124</v>
      </c>
      <c r="E2" s="18" t="s">
        <v>117</v>
      </c>
      <c r="F2" s="18" t="s">
        <v>99</v>
      </c>
      <c r="G2" s="14" t="s">
        <v>13</v>
      </c>
      <c r="H2" s="17" t="s">
        <v>0</v>
      </c>
      <c r="I2" s="17" t="s">
        <v>17</v>
      </c>
      <c r="J2" s="15" t="s">
        <v>7</v>
      </c>
      <c r="K2" s="15" t="s">
        <v>116</v>
      </c>
      <c r="L2" s="113"/>
      <c r="M2" s="15" t="s">
        <v>133</v>
      </c>
      <c r="N2" s="15" t="s">
        <v>134</v>
      </c>
      <c r="O2" s="15" t="s">
        <v>135</v>
      </c>
      <c r="P2" s="15" t="s">
        <v>136</v>
      </c>
      <c r="Q2" s="15" t="s">
        <v>146</v>
      </c>
      <c r="R2" s="15" t="s">
        <v>147</v>
      </c>
      <c r="S2" s="15" t="s">
        <v>148</v>
      </c>
      <c r="T2" s="15" t="s">
        <v>149</v>
      </c>
      <c r="U2" s="15" t="s">
        <v>150</v>
      </c>
      <c r="V2" s="15" t="s">
        <v>151</v>
      </c>
      <c r="W2" s="15" t="s">
        <v>152</v>
      </c>
      <c r="X2" s="15" t="s">
        <v>153</v>
      </c>
      <c r="Y2" s="15" t="s">
        <v>154</v>
      </c>
      <c r="Z2" s="15" t="s">
        <v>155</v>
      </c>
      <c r="AA2" s="15" t="s">
        <v>156</v>
      </c>
      <c r="AB2" s="15" t="s">
        <v>157</v>
      </c>
      <c r="AC2" s="15" t="s">
        <v>158</v>
      </c>
      <c r="AD2" s="15" t="s">
        <v>159</v>
      </c>
      <c r="AE2" s="15" t="s">
        <v>160</v>
      </c>
      <c r="AF2" s="15" t="s">
        <v>161</v>
      </c>
      <c r="AG2" s="15" t="s">
        <v>162</v>
      </c>
      <c r="AH2" s="15" t="s">
        <v>163</v>
      </c>
      <c r="AI2" s="113"/>
      <c r="AJ2" s="13" t="s">
        <v>138</v>
      </c>
      <c r="AK2" s="14" t="s">
        <v>139</v>
      </c>
      <c r="AL2" s="112" t="s">
        <v>140</v>
      </c>
      <c r="AM2" s="1" t="s">
        <v>40</v>
      </c>
    </row>
    <row r="3" spans="1:39" x14ac:dyDescent="0.3">
      <c r="A3" s="44" t="s">
        <v>95</v>
      </c>
      <c r="B3" s="90" t="s">
        <v>98</v>
      </c>
      <c r="C3" s="47" t="s">
        <v>97</v>
      </c>
      <c r="D3" s="47" t="s">
        <v>127</v>
      </c>
      <c r="E3" s="47" t="s">
        <v>118</v>
      </c>
      <c r="F3" s="47">
        <f>2*85</f>
        <v>170</v>
      </c>
      <c r="G3" s="4" t="s">
        <v>13</v>
      </c>
      <c r="H3" s="4" t="s">
        <v>20</v>
      </c>
      <c r="I3" s="4">
        <v>32</v>
      </c>
      <c r="J3" s="77">
        <v>2.8</v>
      </c>
      <c r="K3" s="117">
        <v>64</v>
      </c>
      <c r="L3" s="114"/>
      <c r="M3" s="77">
        <v>2</v>
      </c>
      <c r="N3" s="77">
        <v>64</v>
      </c>
      <c r="O3" s="77" t="s">
        <v>137</v>
      </c>
      <c r="P3" s="77">
        <v>2</v>
      </c>
      <c r="Q3" s="77">
        <v>102.2</v>
      </c>
      <c r="R3" s="77">
        <v>71.5</v>
      </c>
      <c r="S3" s="77">
        <v>137.4</v>
      </c>
      <c r="T3" s="77">
        <v>19.2</v>
      </c>
      <c r="U3" s="77">
        <v>13.9</v>
      </c>
      <c r="V3" s="77">
        <v>24.5</v>
      </c>
      <c r="W3" s="77">
        <v>68.099999999999994</v>
      </c>
      <c r="X3" s="77">
        <v>46.5</v>
      </c>
      <c r="Y3" s="77">
        <v>97.3</v>
      </c>
      <c r="Z3" s="77">
        <v>27.6</v>
      </c>
      <c r="AA3" s="77">
        <v>38.1</v>
      </c>
      <c r="AB3" s="77">
        <v>5.3</v>
      </c>
      <c r="AC3" s="77">
        <v>14.2</v>
      </c>
      <c r="AD3" s="77">
        <v>0</v>
      </c>
      <c r="AE3" s="77">
        <v>51.5</v>
      </c>
      <c r="AF3" s="77">
        <v>334.2</v>
      </c>
      <c r="AG3" s="77">
        <v>279.3</v>
      </c>
      <c r="AH3" s="77">
        <v>393</v>
      </c>
      <c r="AI3" s="114"/>
      <c r="AJ3" s="110">
        <v>200</v>
      </c>
      <c r="AK3" s="49">
        <v>600</v>
      </c>
      <c r="AL3" s="111">
        <v>1200</v>
      </c>
      <c r="AM3" s="44" t="s">
        <v>98</v>
      </c>
    </row>
    <row r="4" spans="1:39" x14ac:dyDescent="0.3">
      <c r="A4" s="81" t="s">
        <v>44</v>
      </c>
      <c r="B4" s="91" t="s">
        <v>70</v>
      </c>
      <c r="C4" s="76" t="s">
        <v>50</v>
      </c>
      <c r="D4" s="76" t="s">
        <v>127</v>
      </c>
      <c r="E4" s="76" t="s">
        <v>118</v>
      </c>
      <c r="F4" s="76">
        <f>2*85</f>
        <v>170</v>
      </c>
      <c r="G4" s="23" t="s">
        <v>13</v>
      </c>
      <c r="H4" s="23" t="s">
        <v>20</v>
      </c>
      <c r="I4" s="23">
        <v>40</v>
      </c>
      <c r="J4" s="23">
        <v>2.2000000000000002</v>
      </c>
      <c r="K4" s="118">
        <v>80</v>
      </c>
      <c r="L4" s="115"/>
      <c r="M4" s="23">
        <v>2</v>
      </c>
      <c r="N4" s="23">
        <v>80</v>
      </c>
      <c r="O4" s="23" t="s">
        <v>137</v>
      </c>
      <c r="P4" s="23">
        <v>2</v>
      </c>
      <c r="Q4" s="23">
        <v>102</v>
      </c>
      <c r="R4" s="23">
        <v>71.099999999999994</v>
      </c>
      <c r="S4" s="23">
        <v>137.30000000000001</v>
      </c>
      <c r="T4" s="23">
        <v>24</v>
      </c>
      <c r="U4" s="23">
        <v>17.399999999999999</v>
      </c>
      <c r="V4" s="23">
        <v>30.7</v>
      </c>
      <c r="W4" s="23">
        <v>68.099999999999994</v>
      </c>
      <c r="X4" s="23">
        <v>46.7</v>
      </c>
      <c r="Y4" s="23">
        <v>97</v>
      </c>
      <c r="Z4" s="23">
        <v>27.6</v>
      </c>
      <c r="AA4" s="23">
        <v>38.5</v>
      </c>
      <c r="AB4" s="23">
        <v>5.3</v>
      </c>
      <c r="AC4" s="23">
        <v>14.1</v>
      </c>
      <c r="AD4" s="23">
        <v>0</v>
      </c>
      <c r="AE4" s="23">
        <v>51.3</v>
      </c>
      <c r="AF4" s="23">
        <v>339</v>
      </c>
      <c r="AG4" s="23">
        <v>283.3</v>
      </c>
      <c r="AH4" s="23">
        <v>397.9</v>
      </c>
      <c r="AI4" s="115"/>
      <c r="AJ4" s="106">
        <v>300</v>
      </c>
      <c r="AK4" s="48">
        <v>800</v>
      </c>
      <c r="AL4" s="107">
        <v>1500</v>
      </c>
      <c r="AM4" s="81" t="s">
        <v>70</v>
      </c>
    </row>
    <row r="5" spans="1:39" x14ac:dyDescent="0.3">
      <c r="A5" s="30" t="s">
        <v>53</v>
      </c>
      <c r="B5" s="92" t="s">
        <v>34</v>
      </c>
      <c r="C5" s="76" t="s">
        <v>72</v>
      </c>
      <c r="D5" s="23" t="s">
        <v>129</v>
      </c>
      <c r="E5" s="23" t="s">
        <v>121</v>
      </c>
      <c r="F5" s="23">
        <f>225</f>
        <v>225</v>
      </c>
      <c r="G5" s="23" t="s">
        <v>13</v>
      </c>
      <c r="H5" s="23" t="s">
        <v>19</v>
      </c>
      <c r="I5" s="23">
        <v>96</v>
      </c>
      <c r="J5" s="23">
        <v>2.2999999999999998</v>
      </c>
      <c r="K5" s="118">
        <v>192</v>
      </c>
      <c r="L5" s="115"/>
      <c r="M5" s="23">
        <v>1</v>
      </c>
      <c r="N5" s="23">
        <v>192</v>
      </c>
      <c r="O5" s="23" t="s">
        <v>137</v>
      </c>
      <c r="P5" s="23">
        <v>4</v>
      </c>
      <c r="Q5" s="23">
        <v>49.4</v>
      </c>
      <c r="R5" s="23">
        <v>29.3</v>
      </c>
      <c r="S5" s="23">
        <v>77.2</v>
      </c>
      <c r="T5" s="23">
        <v>57.8</v>
      </c>
      <c r="U5" s="23">
        <v>41.7</v>
      </c>
      <c r="V5" s="23">
        <v>73.400000000000006</v>
      </c>
      <c r="W5" s="23">
        <v>68</v>
      </c>
      <c r="X5" s="23">
        <v>46.4</v>
      </c>
      <c r="Y5" s="23">
        <v>96.7</v>
      </c>
      <c r="Z5" s="23">
        <v>27.7</v>
      </c>
      <c r="AA5" s="23">
        <v>38.5</v>
      </c>
      <c r="AB5" s="23">
        <v>5.2</v>
      </c>
      <c r="AC5" s="23">
        <v>14.1</v>
      </c>
      <c r="AD5" s="23">
        <v>0</v>
      </c>
      <c r="AE5" s="23">
        <v>102</v>
      </c>
      <c r="AF5" s="23">
        <v>373.1</v>
      </c>
      <c r="AG5" s="23">
        <v>300</v>
      </c>
      <c r="AH5" s="23">
        <v>457.3</v>
      </c>
      <c r="AI5" s="115"/>
      <c r="AJ5" s="106">
        <v>4000</v>
      </c>
      <c r="AK5" s="48">
        <v>8000</v>
      </c>
      <c r="AL5" s="107">
        <v>12000</v>
      </c>
      <c r="AM5" s="30" t="s">
        <v>34</v>
      </c>
    </row>
    <row r="6" spans="1:39" x14ac:dyDescent="0.3">
      <c r="A6" s="65" t="s">
        <v>71</v>
      </c>
      <c r="B6" s="93" t="s">
        <v>90</v>
      </c>
      <c r="C6" s="76" t="s">
        <v>74</v>
      </c>
      <c r="D6" s="23" t="s">
        <v>130</v>
      </c>
      <c r="E6" s="23" t="s">
        <v>119</v>
      </c>
      <c r="F6" s="23">
        <f>2*200</f>
        <v>400</v>
      </c>
      <c r="G6" s="23" t="s">
        <v>13</v>
      </c>
      <c r="H6" s="23" t="s">
        <v>20</v>
      </c>
      <c r="I6" s="23">
        <v>96</v>
      </c>
      <c r="J6" s="23">
        <v>4</v>
      </c>
      <c r="K6" s="118">
        <v>192</v>
      </c>
      <c r="L6" s="115"/>
      <c r="M6" s="23">
        <v>2</v>
      </c>
      <c r="N6" s="23">
        <v>192</v>
      </c>
      <c r="O6" s="23" t="s">
        <v>141</v>
      </c>
      <c r="P6" s="23">
        <v>8</v>
      </c>
      <c r="Q6" s="23">
        <v>102.7</v>
      </c>
      <c r="R6" s="23">
        <v>72</v>
      </c>
      <c r="S6" s="23">
        <v>137.30000000000001</v>
      </c>
      <c r="T6" s="23">
        <v>57.6</v>
      </c>
      <c r="U6" s="23">
        <v>41.5</v>
      </c>
      <c r="V6" s="23">
        <v>73.599999999999994</v>
      </c>
      <c r="W6" s="23">
        <v>68</v>
      </c>
      <c r="X6" s="23">
        <v>46.1</v>
      </c>
      <c r="Y6" s="23">
        <v>96.6</v>
      </c>
      <c r="Z6" s="23">
        <v>27.5</v>
      </c>
      <c r="AA6" s="23">
        <v>38.299999999999997</v>
      </c>
      <c r="AB6" s="23">
        <v>5.3</v>
      </c>
      <c r="AC6" s="23">
        <v>14.1</v>
      </c>
      <c r="AD6" s="23">
        <v>163.80000000000001</v>
      </c>
      <c r="AE6" s="23">
        <v>1449.3</v>
      </c>
      <c r="AF6" s="23">
        <v>1936.8</v>
      </c>
      <c r="AG6" s="23">
        <v>1473.6</v>
      </c>
      <c r="AH6" s="23">
        <v>2550.5</v>
      </c>
      <c r="AI6" s="115"/>
      <c r="AJ6" s="106">
        <v>25000</v>
      </c>
      <c r="AK6" s="48">
        <v>40000</v>
      </c>
      <c r="AL6" s="107">
        <v>60000</v>
      </c>
      <c r="AM6" s="65" t="s">
        <v>90</v>
      </c>
    </row>
    <row r="7" spans="1:39" x14ac:dyDescent="0.3">
      <c r="A7" s="43" t="s">
        <v>62</v>
      </c>
      <c r="B7" s="94" t="s">
        <v>69</v>
      </c>
      <c r="C7" s="76" t="s">
        <v>47</v>
      </c>
      <c r="D7" s="23" t="s">
        <v>126</v>
      </c>
      <c r="E7" s="23" t="s">
        <v>119</v>
      </c>
      <c r="F7" s="23">
        <f>2*155</f>
        <v>310</v>
      </c>
      <c r="G7" s="23" t="s">
        <v>13</v>
      </c>
      <c r="H7" s="23" t="s">
        <v>20</v>
      </c>
      <c r="I7" s="23">
        <v>128</v>
      </c>
      <c r="J7" s="41">
        <v>3.3</v>
      </c>
      <c r="K7" s="119">
        <v>256</v>
      </c>
      <c r="L7" s="115"/>
      <c r="M7" s="41">
        <v>2</v>
      </c>
      <c r="N7" s="41">
        <v>256</v>
      </c>
      <c r="O7" s="41" t="s">
        <v>137</v>
      </c>
      <c r="P7" s="41">
        <v>4</v>
      </c>
      <c r="Q7" s="41">
        <v>102.2</v>
      </c>
      <c r="R7" s="41">
        <v>71.7</v>
      </c>
      <c r="S7" s="41">
        <v>136.9</v>
      </c>
      <c r="T7" s="41">
        <v>76.8</v>
      </c>
      <c r="U7" s="41">
        <v>55.6</v>
      </c>
      <c r="V7" s="41">
        <v>98.2</v>
      </c>
      <c r="W7" s="41">
        <v>68</v>
      </c>
      <c r="X7" s="41">
        <v>46.4</v>
      </c>
      <c r="Y7" s="41">
        <v>96.5</v>
      </c>
      <c r="Z7" s="41">
        <v>27.7</v>
      </c>
      <c r="AA7" s="41">
        <v>38.1</v>
      </c>
      <c r="AB7" s="41">
        <v>5.3</v>
      </c>
      <c r="AC7" s="41">
        <v>14.1</v>
      </c>
      <c r="AD7" s="41">
        <v>0</v>
      </c>
      <c r="AE7" s="41">
        <v>102.3</v>
      </c>
      <c r="AF7" s="41">
        <v>444.3</v>
      </c>
      <c r="AG7" s="41">
        <v>366.6</v>
      </c>
      <c r="AH7" s="41">
        <v>530.20000000000005</v>
      </c>
      <c r="AI7" s="115"/>
      <c r="AJ7" s="106">
        <v>8000</v>
      </c>
      <c r="AK7" s="48">
        <v>18000</v>
      </c>
      <c r="AL7" s="107">
        <v>30000</v>
      </c>
      <c r="AM7" s="43" t="s">
        <v>69</v>
      </c>
    </row>
    <row r="8" spans="1:39" x14ac:dyDescent="0.3">
      <c r="A8" s="31" t="s">
        <v>45</v>
      </c>
      <c r="B8" s="95" t="s">
        <v>37</v>
      </c>
      <c r="C8" s="76" t="s">
        <v>27</v>
      </c>
      <c r="D8" s="23" t="s">
        <v>126</v>
      </c>
      <c r="E8" s="23" t="s">
        <v>119</v>
      </c>
      <c r="F8" s="23">
        <f>2*200</f>
        <v>400</v>
      </c>
      <c r="G8" s="23" t="s">
        <v>13</v>
      </c>
      <c r="H8" s="23" t="s">
        <v>20</v>
      </c>
      <c r="I8" s="23">
        <v>128</v>
      </c>
      <c r="J8" s="25">
        <v>2.6</v>
      </c>
      <c r="K8" s="118">
        <v>256</v>
      </c>
      <c r="L8" s="114"/>
      <c r="M8" s="25">
        <v>2</v>
      </c>
      <c r="N8" s="25">
        <v>256</v>
      </c>
      <c r="O8" s="25" t="s">
        <v>137</v>
      </c>
      <c r="P8" s="25">
        <v>4</v>
      </c>
      <c r="Q8" s="25">
        <v>102.4</v>
      </c>
      <c r="R8" s="25">
        <v>71.7</v>
      </c>
      <c r="S8" s="25">
        <v>137.4</v>
      </c>
      <c r="T8" s="25">
        <v>77</v>
      </c>
      <c r="U8" s="25">
        <v>56</v>
      </c>
      <c r="V8" s="25">
        <v>98.1</v>
      </c>
      <c r="W8" s="25">
        <v>67.8</v>
      </c>
      <c r="X8" s="25">
        <v>46.4</v>
      </c>
      <c r="Y8" s="25">
        <v>96.9</v>
      </c>
      <c r="Z8" s="25">
        <v>27.8</v>
      </c>
      <c r="AA8" s="25">
        <v>38.200000000000003</v>
      </c>
      <c r="AB8" s="25">
        <v>5.3</v>
      </c>
      <c r="AC8" s="25">
        <v>14.3</v>
      </c>
      <c r="AD8" s="25">
        <v>0</v>
      </c>
      <c r="AE8" s="25">
        <v>102.8</v>
      </c>
      <c r="AF8" s="25">
        <v>444.5</v>
      </c>
      <c r="AG8" s="25">
        <v>368.1</v>
      </c>
      <c r="AH8" s="25">
        <v>530.79999999999995</v>
      </c>
      <c r="AI8" s="114"/>
      <c r="AJ8" s="106">
        <v>9000</v>
      </c>
      <c r="AK8" s="48">
        <v>20000</v>
      </c>
      <c r="AL8" s="107">
        <v>33000</v>
      </c>
      <c r="AM8" s="31" t="s">
        <v>37</v>
      </c>
    </row>
    <row r="9" spans="1:39" x14ac:dyDescent="0.3">
      <c r="A9" s="32" t="s">
        <v>26</v>
      </c>
      <c r="B9" s="96" t="s">
        <v>39</v>
      </c>
      <c r="C9" s="76" t="s">
        <v>32</v>
      </c>
      <c r="D9" s="23"/>
      <c r="E9" s="23" t="s">
        <v>120</v>
      </c>
      <c r="F9" s="23">
        <f>2*360</f>
        <v>720</v>
      </c>
      <c r="G9" s="23" t="s">
        <v>13</v>
      </c>
      <c r="H9" s="23" t="s">
        <v>20</v>
      </c>
      <c r="I9" s="23">
        <v>512</v>
      </c>
      <c r="J9" s="25">
        <v>3.1</v>
      </c>
      <c r="K9" s="118">
        <v>1024</v>
      </c>
      <c r="L9" s="114"/>
      <c r="M9" s="25">
        <v>2</v>
      </c>
      <c r="N9" s="25">
        <v>1024</v>
      </c>
      <c r="O9" s="25" t="s">
        <v>137</v>
      </c>
      <c r="P9" s="25">
        <v>8</v>
      </c>
      <c r="Q9" s="25">
        <v>101.9</v>
      </c>
      <c r="R9" s="25">
        <v>71.2</v>
      </c>
      <c r="S9" s="25">
        <v>136.69999999999999</v>
      </c>
      <c r="T9" s="25">
        <v>307.7</v>
      </c>
      <c r="U9" s="25">
        <v>222</v>
      </c>
      <c r="V9" s="25">
        <v>392.8</v>
      </c>
      <c r="W9" s="25">
        <v>67.8</v>
      </c>
      <c r="X9" s="25">
        <v>46.6</v>
      </c>
      <c r="Y9" s="25">
        <v>96.7</v>
      </c>
      <c r="Z9" s="25">
        <v>27.7</v>
      </c>
      <c r="AA9" s="25">
        <v>38.6</v>
      </c>
      <c r="AB9" s="25">
        <v>5.3</v>
      </c>
      <c r="AC9" s="25">
        <v>14.2</v>
      </c>
      <c r="AD9" s="25">
        <v>0</v>
      </c>
      <c r="AE9" s="25">
        <v>204.8</v>
      </c>
      <c r="AF9" s="25">
        <v>778.6</v>
      </c>
      <c r="AG9" s="25">
        <v>630.9</v>
      </c>
      <c r="AH9" s="25">
        <v>947.4</v>
      </c>
      <c r="AI9" s="114"/>
      <c r="AJ9" s="106">
        <v>25000</v>
      </c>
      <c r="AK9" s="48">
        <v>35000</v>
      </c>
      <c r="AL9" s="107">
        <v>50000</v>
      </c>
      <c r="AM9" s="32" t="s">
        <v>39</v>
      </c>
    </row>
    <row r="10" spans="1:39" x14ac:dyDescent="0.3">
      <c r="A10" s="66" t="s">
        <v>26</v>
      </c>
      <c r="B10" s="97" t="s">
        <v>80</v>
      </c>
      <c r="C10" s="76" t="s">
        <v>79</v>
      </c>
      <c r="D10" s="23"/>
      <c r="E10" s="23" t="s">
        <v>120</v>
      </c>
      <c r="F10" s="23">
        <f>2*340</f>
        <v>680</v>
      </c>
      <c r="G10" s="23" t="s">
        <v>13</v>
      </c>
      <c r="H10" s="23" t="s">
        <v>20</v>
      </c>
      <c r="I10" s="23">
        <v>384</v>
      </c>
      <c r="J10" s="23">
        <v>3.7</v>
      </c>
      <c r="K10" s="118">
        <v>768</v>
      </c>
      <c r="L10" s="115"/>
      <c r="M10" s="23">
        <v>2</v>
      </c>
      <c r="N10" s="23">
        <v>768</v>
      </c>
      <c r="O10" s="23" t="s">
        <v>137</v>
      </c>
      <c r="P10" s="23">
        <v>8</v>
      </c>
      <c r="Q10" s="23">
        <v>102.2</v>
      </c>
      <c r="R10" s="23">
        <v>71.5</v>
      </c>
      <c r="S10" s="23">
        <v>137</v>
      </c>
      <c r="T10" s="23">
        <v>231.2</v>
      </c>
      <c r="U10" s="23">
        <v>167.2</v>
      </c>
      <c r="V10" s="23">
        <v>294.39999999999998</v>
      </c>
      <c r="W10" s="23">
        <v>68</v>
      </c>
      <c r="X10" s="23">
        <v>46.1</v>
      </c>
      <c r="Y10" s="23">
        <v>96.5</v>
      </c>
      <c r="Z10" s="23">
        <v>27.5</v>
      </c>
      <c r="AA10" s="23">
        <v>37.9</v>
      </c>
      <c r="AB10" s="23">
        <v>5.2</v>
      </c>
      <c r="AC10" s="23">
        <v>14.2</v>
      </c>
      <c r="AD10" s="23">
        <v>0</v>
      </c>
      <c r="AE10" s="23">
        <v>204.4</v>
      </c>
      <c r="AF10" s="23">
        <v>701.6</v>
      </c>
      <c r="AG10" s="23">
        <v>563.29999999999995</v>
      </c>
      <c r="AH10" s="23">
        <v>864.9</v>
      </c>
      <c r="AI10" s="115"/>
      <c r="AJ10" s="106">
        <v>18000</v>
      </c>
      <c r="AK10" s="48">
        <v>28000</v>
      </c>
      <c r="AL10" s="107">
        <v>40000</v>
      </c>
      <c r="AM10" s="66" t="s">
        <v>80</v>
      </c>
    </row>
    <row r="11" spans="1:39" x14ac:dyDescent="0.3">
      <c r="A11" s="68" t="s">
        <v>26</v>
      </c>
      <c r="B11" s="98" t="s">
        <v>85</v>
      </c>
      <c r="C11" s="76" t="s">
        <v>86</v>
      </c>
      <c r="D11" s="23"/>
      <c r="E11" s="23"/>
      <c r="F11" s="23">
        <f>2*500</f>
        <v>1000</v>
      </c>
      <c r="G11" s="23" t="s">
        <v>13</v>
      </c>
      <c r="H11" s="23" t="s">
        <v>20</v>
      </c>
      <c r="I11" s="23">
        <v>512</v>
      </c>
      <c r="J11" s="23">
        <v>4.2</v>
      </c>
      <c r="K11" s="118">
        <v>1024</v>
      </c>
      <c r="L11" s="115"/>
      <c r="M11" s="23">
        <v>2</v>
      </c>
      <c r="N11" s="23">
        <v>1024</v>
      </c>
      <c r="O11" s="23" t="s">
        <v>137</v>
      </c>
      <c r="P11" s="23">
        <v>8</v>
      </c>
      <c r="Q11" s="23">
        <v>102</v>
      </c>
      <c r="R11" s="23">
        <v>71.2</v>
      </c>
      <c r="S11" s="23">
        <v>137.4</v>
      </c>
      <c r="T11" s="23">
        <v>308.8</v>
      </c>
      <c r="U11" s="23">
        <v>223.6</v>
      </c>
      <c r="V11" s="23">
        <v>391.3</v>
      </c>
      <c r="W11" s="23">
        <v>68.3</v>
      </c>
      <c r="X11" s="23">
        <v>46.4</v>
      </c>
      <c r="Y11" s="23">
        <v>96.5</v>
      </c>
      <c r="Z11" s="23">
        <v>27.7</v>
      </c>
      <c r="AA11" s="23">
        <v>38.200000000000003</v>
      </c>
      <c r="AB11" s="23">
        <v>5.2</v>
      </c>
      <c r="AC11" s="23">
        <v>14.3</v>
      </c>
      <c r="AD11" s="23">
        <v>0</v>
      </c>
      <c r="AE11" s="23">
        <v>206</v>
      </c>
      <c r="AF11" s="23">
        <v>781.2</v>
      </c>
      <c r="AG11" s="23">
        <v>633.1</v>
      </c>
      <c r="AH11" s="23">
        <v>952.2</v>
      </c>
      <c r="AI11" s="115"/>
      <c r="AJ11" s="106">
        <v>20000</v>
      </c>
      <c r="AK11" s="48">
        <v>30000</v>
      </c>
      <c r="AL11" s="107">
        <v>45000</v>
      </c>
      <c r="AM11" s="68" t="s">
        <v>85</v>
      </c>
    </row>
    <row r="12" spans="1:39" x14ac:dyDescent="0.3">
      <c r="A12" s="33" t="s">
        <v>26</v>
      </c>
      <c r="B12" s="99" t="s">
        <v>35</v>
      </c>
      <c r="C12" s="76" t="s">
        <v>73</v>
      </c>
      <c r="D12" s="23"/>
      <c r="E12" s="23" t="s">
        <v>120</v>
      </c>
      <c r="F12" s="23">
        <f>200</f>
        <v>200</v>
      </c>
      <c r="G12" s="23" t="s">
        <v>13</v>
      </c>
      <c r="H12" s="23" t="s">
        <v>19</v>
      </c>
      <c r="I12" s="23">
        <v>128</v>
      </c>
      <c r="J12" s="25">
        <v>3.1</v>
      </c>
      <c r="K12" s="118">
        <v>256</v>
      </c>
      <c r="L12" s="114"/>
      <c r="M12" s="25">
        <v>1</v>
      </c>
      <c r="N12" s="25">
        <v>256</v>
      </c>
      <c r="O12" s="25" t="s">
        <v>137</v>
      </c>
      <c r="P12" s="25">
        <v>4</v>
      </c>
      <c r="Q12" s="25">
        <v>49.9</v>
      </c>
      <c r="R12" s="25">
        <v>29.4</v>
      </c>
      <c r="S12" s="25">
        <v>77.5</v>
      </c>
      <c r="T12" s="25">
        <v>76.900000000000006</v>
      </c>
      <c r="U12" s="25">
        <v>55.8</v>
      </c>
      <c r="V12" s="25">
        <v>97.9</v>
      </c>
      <c r="W12" s="25">
        <v>68</v>
      </c>
      <c r="X12" s="25">
        <v>46.7</v>
      </c>
      <c r="Y12" s="25">
        <v>96.6</v>
      </c>
      <c r="Z12" s="25">
        <v>27.6</v>
      </c>
      <c r="AA12" s="25">
        <v>38.4</v>
      </c>
      <c r="AB12" s="25">
        <v>5.3</v>
      </c>
      <c r="AC12" s="25">
        <v>14.1</v>
      </c>
      <c r="AD12" s="25">
        <v>0</v>
      </c>
      <c r="AE12" s="25">
        <v>102.5</v>
      </c>
      <c r="AF12" s="25">
        <v>392.6</v>
      </c>
      <c r="AG12" s="25">
        <v>318.3</v>
      </c>
      <c r="AH12" s="25">
        <v>476.8</v>
      </c>
      <c r="AI12" s="114"/>
      <c r="AJ12" s="106">
        <v>6000</v>
      </c>
      <c r="AK12" s="48">
        <v>12000</v>
      </c>
      <c r="AL12" s="107">
        <v>20000</v>
      </c>
      <c r="AM12" s="33" t="s">
        <v>35</v>
      </c>
    </row>
    <row r="13" spans="1:39" x14ac:dyDescent="0.3">
      <c r="A13" s="86" t="s">
        <v>26</v>
      </c>
      <c r="B13" s="100" t="s">
        <v>111</v>
      </c>
      <c r="C13" s="76" t="s">
        <v>108</v>
      </c>
      <c r="D13" s="23"/>
      <c r="E13" s="23"/>
      <c r="F13" s="23">
        <f>2*400</f>
        <v>800</v>
      </c>
      <c r="G13" s="23" t="s">
        <v>13</v>
      </c>
      <c r="H13" s="23" t="s">
        <v>20</v>
      </c>
      <c r="I13" s="23">
        <v>512</v>
      </c>
      <c r="J13" s="25">
        <v>3.7</v>
      </c>
      <c r="K13" s="118">
        <v>1024</v>
      </c>
      <c r="L13" s="114"/>
      <c r="M13" s="25">
        <v>2</v>
      </c>
      <c r="N13" s="25">
        <v>1024</v>
      </c>
      <c r="O13" s="25" t="s">
        <v>137</v>
      </c>
      <c r="P13" s="25">
        <v>10</v>
      </c>
      <c r="Q13" s="25">
        <v>102.3</v>
      </c>
      <c r="R13" s="25">
        <v>71.7</v>
      </c>
      <c r="S13" s="25">
        <v>136.9</v>
      </c>
      <c r="T13">
        <v>307.3</v>
      </c>
      <c r="U13" s="25">
        <v>221.5</v>
      </c>
      <c r="V13" s="25">
        <v>391.5</v>
      </c>
      <c r="W13" s="25">
        <v>68.099999999999994</v>
      </c>
      <c r="X13" s="25">
        <v>46.3</v>
      </c>
      <c r="Y13" s="25">
        <v>97.1</v>
      </c>
      <c r="Z13" s="25">
        <v>27.5</v>
      </c>
      <c r="AA13" s="25">
        <v>38.5</v>
      </c>
      <c r="AB13" s="25">
        <v>5.2</v>
      </c>
      <c r="AC13" s="25">
        <v>14.2</v>
      </c>
      <c r="AD13" s="25">
        <v>0</v>
      </c>
      <c r="AE13" s="25">
        <v>258.3</v>
      </c>
      <c r="AF13" s="25">
        <v>832.6</v>
      </c>
      <c r="AG13" s="25">
        <v>660.2</v>
      </c>
      <c r="AH13" s="25">
        <v>1036.4000000000001</v>
      </c>
      <c r="AI13" s="114"/>
      <c r="AJ13" s="106">
        <v>30000</v>
      </c>
      <c r="AK13" s="48">
        <v>45000</v>
      </c>
      <c r="AL13" s="107">
        <v>65000</v>
      </c>
      <c r="AM13" s="86" t="s">
        <v>114</v>
      </c>
    </row>
    <row r="14" spans="1:39" x14ac:dyDescent="0.3">
      <c r="A14" s="86" t="s">
        <v>26</v>
      </c>
      <c r="B14" s="100" t="s">
        <v>112</v>
      </c>
      <c r="C14" s="76" t="s">
        <v>109</v>
      </c>
      <c r="D14" s="23"/>
      <c r="E14" s="23"/>
      <c r="F14" s="23">
        <f>2*390</f>
        <v>780</v>
      </c>
      <c r="G14" s="23" t="s">
        <v>13</v>
      </c>
      <c r="H14" s="23" t="s">
        <v>20</v>
      </c>
      <c r="I14" s="23">
        <v>640</v>
      </c>
      <c r="J14" s="25">
        <v>3.7</v>
      </c>
      <c r="K14" s="118">
        <v>1280</v>
      </c>
      <c r="L14" s="114"/>
      <c r="M14" s="25">
        <v>2</v>
      </c>
      <c r="N14" s="25">
        <v>1280</v>
      </c>
      <c r="O14" s="25" t="s">
        <v>137</v>
      </c>
      <c r="P14" s="25">
        <v>10</v>
      </c>
      <c r="Q14" s="25">
        <v>102.2</v>
      </c>
      <c r="R14" s="25">
        <v>71.3</v>
      </c>
      <c r="S14" s="25">
        <v>137.4</v>
      </c>
      <c r="T14">
        <v>385.3</v>
      </c>
      <c r="U14" s="25">
        <v>279.39999999999998</v>
      </c>
      <c r="V14" s="25">
        <v>490.7</v>
      </c>
      <c r="W14" s="25">
        <v>68.099999999999994</v>
      </c>
      <c r="X14" s="25">
        <v>46.3</v>
      </c>
      <c r="Y14" s="25">
        <v>96.7</v>
      </c>
      <c r="Z14" s="25">
        <v>27.7</v>
      </c>
      <c r="AA14" s="25">
        <v>38.200000000000003</v>
      </c>
      <c r="AB14" s="25">
        <v>5.2</v>
      </c>
      <c r="AC14" s="25">
        <v>14.2</v>
      </c>
      <c r="AD14" s="25">
        <v>0</v>
      </c>
      <c r="AE14" s="25">
        <v>256.2</v>
      </c>
      <c r="AF14" s="25">
        <v>911.4</v>
      </c>
      <c r="AG14" s="25">
        <v>726.6</v>
      </c>
      <c r="AH14" s="25">
        <v>1120</v>
      </c>
      <c r="AI14" s="114"/>
      <c r="AJ14" s="106">
        <v>35000</v>
      </c>
      <c r="AK14" s="48">
        <v>60000</v>
      </c>
      <c r="AL14" s="107">
        <v>85000</v>
      </c>
      <c r="AM14" s="86" t="s">
        <v>114</v>
      </c>
    </row>
    <row r="15" spans="1:39" x14ac:dyDescent="0.3">
      <c r="A15" s="86" t="s">
        <v>26</v>
      </c>
      <c r="B15" s="100" t="s">
        <v>113</v>
      </c>
      <c r="C15" s="76" t="s">
        <v>110</v>
      </c>
      <c r="D15" s="23"/>
      <c r="E15" s="23"/>
      <c r="F15" s="23">
        <f>2*500</f>
        <v>1000</v>
      </c>
      <c r="G15" s="23" t="s">
        <v>13</v>
      </c>
      <c r="H15" s="23" t="s">
        <v>20</v>
      </c>
      <c r="I15" s="23">
        <v>768</v>
      </c>
      <c r="J15" s="25">
        <v>3.35</v>
      </c>
      <c r="K15" s="118">
        <v>1536</v>
      </c>
      <c r="L15" s="114"/>
      <c r="M15" s="25">
        <v>2</v>
      </c>
      <c r="N15" s="25">
        <v>1536</v>
      </c>
      <c r="O15" s="25" t="s">
        <v>137</v>
      </c>
      <c r="P15" s="25">
        <v>10</v>
      </c>
      <c r="Q15" s="25">
        <v>102.3</v>
      </c>
      <c r="R15" s="25">
        <v>71.599999999999994</v>
      </c>
      <c r="S15" s="25">
        <v>137.4</v>
      </c>
      <c r="T15">
        <v>461</v>
      </c>
      <c r="U15" s="25">
        <v>333.1</v>
      </c>
      <c r="V15" s="25">
        <v>587.4</v>
      </c>
      <c r="W15" s="25">
        <v>68.2</v>
      </c>
      <c r="X15" s="25">
        <v>46.6</v>
      </c>
      <c r="Y15" s="25">
        <v>97.3</v>
      </c>
      <c r="Z15" s="25">
        <v>27.6</v>
      </c>
      <c r="AA15" s="25">
        <v>37.799999999999997</v>
      </c>
      <c r="AB15" s="25">
        <v>5.3</v>
      </c>
      <c r="AC15" s="25">
        <v>14.2</v>
      </c>
      <c r="AD15" s="25">
        <v>0</v>
      </c>
      <c r="AE15" s="25">
        <v>258.10000000000002</v>
      </c>
      <c r="AF15" s="25">
        <v>987.3</v>
      </c>
      <c r="AG15" s="25">
        <v>792.3</v>
      </c>
      <c r="AH15" s="25">
        <v>1208.2</v>
      </c>
      <c r="AI15" s="114"/>
      <c r="AJ15" s="106">
        <v>45000</v>
      </c>
      <c r="AK15" s="48">
        <v>80000</v>
      </c>
      <c r="AL15" s="107">
        <v>120000</v>
      </c>
      <c r="AM15" s="86" t="s">
        <v>114</v>
      </c>
    </row>
    <row r="16" spans="1:39" x14ac:dyDescent="0.3">
      <c r="A16" s="34" t="s">
        <v>54</v>
      </c>
      <c r="B16" s="101" t="s">
        <v>36</v>
      </c>
      <c r="C16" s="76" t="s">
        <v>25</v>
      </c>
      <c r="D16" s="23" t="s">
        <v>129</v>
      </c>
      <c r="E16" s="23" t="s">
        <v>121</v>
      </c>
      <c r="F16" s="23">
        <f>210</f>
        <v>210</v>
      </c>
      <c r="G16" s="23" t="s">
        <v>26</v>
      </c>
      <c r="H16" s="23" t="s">
        <v>18</v>
      </c>
      <c r="I16" s="23">
        <v>80</v>
      </c>
      <c r="J16" s="23">
        <v>3</v>
      </c>
      <c r="K16" s="118">
        <v>160</v>
      </c>
      <c r="L16" s="115"/>
      <c r="M16" s="23">
        <v>1</v>
      </c>
      <c r="N16" s="23">
        <v>160</v>
      </c>
      <c r="O16" s="23" t="s">
        <v>137</v>
      </c>
      <c r="P16" s="23">
        <v>4</v>
      </c>
      <c r="Q16" s="23">
        <v>49.7</v>
      </c>
      <c r="R16" s="23">
        <v>29.6</v>
      </c>
      <c r="S16" s="23">
        <v>77.5</v>
      </c>
      <c r="T16" s="23">
        <v>48.1</v>
      </c>
      <c r="U16" s="23">
        <v>34.799999999999997</v>
      </c>
      <c r="V16" s="23">
        <v>61.4</v>
      </c>
      <c r="W16" s="23">
        <v>67.8</v>
      </c>
      <c r="X16" s="23">
        <v>46.7</v>
      </c>
      <c r="Y16" s="23">
        <v>96.7</v>
      </c>
      <c r="Z16" s="23">
        <v>27.7</v>
      </c>
      <c r="AA16" s="23">
        <v>38.1</v>
      </c>
      <c r="AB16" s="23">
        <v>5.2</v>
      </c>
      <c r="AC16" s="23">
        <v>14.1</v>
      </c>
      <c r="AD16" s="23">
        <v>0</v>
      </c>
      <c r="AE16" s="23">
        <v>102.9</v>
      </c>
      <c r="AF16" s="23">
        <v>363.7</v>
      </c>
      <c r="AG16" s="23">
        <v>292.2</v>
      </c>
      <c r="AH16" s="23">
        <v>445.9</v>
      </c>
      <c r="AI16" s="115"/>
      <c r="AJ16" s="106">
        <v>10000</v>
      </c>
      <c r="AK16" s="48">
        <v>18000</v>
      </c>
      <c r="AL16" s="107">
        <v>30000</v>
      </c>
      <c r="AM16" s="34" t="s">
        <v>36</v>
      </c>
    </row>
    <row r="17" spans="1:39" x14ac:dyDescent="0.3">
      <c r="A17" s="36" t="s">
        <v>26</v>
      </c>
      <c r="B17" s="102" t="s">
        <v>67</v>
      </c>
      <c r="C17" s="76" t="s">
        <v>64</v>
      </c>
      <c r="D17" s="23"/>
      <c r="E17" s="23" t="s">
        <v>123</v>
      </c>
      <c r="F17" s="23">
        <f>230</f>
        <v>230</v>
      </c>
      <c r="G17" s="23" t="s">
        <v>26</v>
      </c>
      <c r="H17" s="23" t="s">
        <v>18</v>
      </c>
      <c r="I17" s="23">
        <v>128</v>
      </c>
      <c r="J17" s="23">
        <v>2.8</v>
      </c>
      <c r="K17" s="118">
        <v>256</v>
      </c>
      <c r="L17" s="115"/>
      <c r="M17" s="23">
        <v>1</v>
      </c>
      <c r="N17" s="23">
        <v>256</v>
      </c>
      <c r="O17" s="23" t="s">
        <v>137</v>
      </c>
      <c r="P17" s="23">
        <v>4</v>
      </c>
      <c r="Q17" s="23">
        <v>49.5</v>
      </c>
      <c r="R17" s="23">
        <v>29.7</v>
      </c>
      <c r="S17" s="23">
        <v>77.400000000000006</v>
      </c>
      <c r="T17" s="23">
        <v>76.7</v>
      </c>
      <c r="U17" s="23">
        <v>55.6</v>
      </c>
      <c r="V17" s="23">
        <v>97.9</v>
      </c>
      <c r="W17" s="23">
        <v>68</v>
      </c>
      <c r="X17" s="23">
        <v>46.3</v>
      </c>
      <c r="Y17" s="23">
        <v>97.1</v>
      </c>
      <c r="Z17" s="23">
        <v>27.6</v>
      </c>
      <c r="AA17" s="23">
        <v>38</v>
      </c>
      <c r="AB17" s="23">
        <v>5.2</v>
      </c>
      <c r="AC17" s="23">
        <v>14.1</v>
      </c>
      <c r="AD17" s="23">
        <v>0</v>
      </c>
      <c r="AE17" s="23">
        <v>102.3</v>
      </c>
      <c r="AF17" s="23">
        <v>391.6</v>
      </c>
      <c r="AG17" s="23">
        <v>317.7</v>
      </c>
      <c r="AH17" s="23">
        <v>475.2</v>
      </c>
      <c r="AI17" s="115"/>
      <c r="AJ17" s="106">
        <v>15000</v>
      </c>
      <c r="AK17" s="48">
        <v>30000</v>
      </c>
      <c r="AL17" s="107">
        <v>45000</v>
      </c>
      <c r="AM17" s="36" t="s">
        <v>67</v>
      </c>
    </row>
    <row r="18" spans="1:39" x14ac:dyDescent="0.3">
      <c r="A18" s="36" t="s">
        <v>68</v>
      </c>
      <c r="B18" s="102" t="s">
        <v>66</v>
      </c>
      <c r="C18" s="76" t="s">
        <v>65</v>
      </c>
      <c r="D18" s="23" t="s">
        <v>128</v>
      </c>
      <c r="E18" s="23" t="s">
        <v>123</v>
      </c>
      <c r="F18" s="23">
        <f>250</f>
        <v>250</v>
      </c>
      <c r="G18" s="23" t="s">
        <v>26</v>
      </c>
      <c r="H18" s="23" t="s">
        <v>18</v>
      </c>
      <c r="I18" s="23">
        <v>128</v>
      </c>
      <c r="J18" s="23">
        <v>3</v>
      </c>
      <c r="K18" s="118">
        <v>256</v>
      </c>
      <c r="L18" s="115"/>
      <c r="M18" s="23">
        <v>1</v>
      </c>
      <c r="N18" s="23">
        <v>256</v>
      </c>
      <c r="O18" s="23" t="s">
        <v>137</v>
      </c>
      <c r="P18" s="23">
        <v>4</v>
      </c>
      <c r="Q18" s="23">
        <v>49.4</v>
      </c>
      <c r="R18" s="23">
        <v>29.6</v>
      </c>
      <c r="S18" s="23">
        <v>77.5</v>
      </c>
      <c r="T18" s="23">
        <v>76.900000000000006</v>
      </c>
      <c r="U18" s="23">
        <v>55.3</v>
      </c>
      <c r="V18" s="23">
        <v>98.3</v>
      </c>
      <c r="W18" s="23">
        <v>67.7</v>
      </c>
      <c r="X18" s="23">
        <v>46.5</v>
      </c>
      <c r="Y18" s="23">
        <v>96.4</v>
      </c>
      <c r="Z18" s="23">
        <v>27.6</v>
      </c>
      <c r="AA18" s="23">
        <v>38.1</v>
      </c>
      <c r="AB18" s="23">
        <v>5.3</v>
      </c>
      <c r="AC18" s="23">
        <v>14.1</v>
      </c>
      <c r="AD18" s="23">
        <v>0</v>
      </c>
      <c r="AE18" s="23">
        <v>101.7</v>
      </c>
      <c r="AF18" s="23">
        <v>391.6</v>
      </c>
      <c r="AG18" s="23">
        <v>318.10000000000002</v>
      </c>
      <c r="AH18" s="23">
        <v>477.1</v>
      </c>
      <c r="AI18" s="115"/>
      <c r="AJ18" s="106">
        <v>15000</v>
      </c>
      <c r="AK18" s="48">
        <v>32000</v>
      </c>
      <c r="AL18" s="107">
        <v>48000</v>
      </c>
      <c r="AM18" s="36" t="s">
        <v>66</v>
      </c>
    </row>
    <row r="19" spans="1:39" x14ac:dyDescent="0.3">
      <c r="A19" s="40" t="s">
        <v>63</v>
      </c>
      <c r="B19" s="103" t="s">
        <v>41</v>
      </c>
      <c r="C19" s="88" t="s">
        <v>43</v>
      </c>
      <c r="D19" s="38"/>
      <c r="E19" s="38" t="s">
        <v>120</v>
      </c>
      <c r="F19" s="38">
        <f>500</f>
        <v>500</v>
      </c>
      <c r="G19" s="23" t="s">
        <v>26</v>
      </c>
      <c r="H19" s="23" t="s">
        <v>31</v>
      </c>
      <c r="I19" s="38">
        <v>144</v>
      </c>
      <c r="J19" s="38">
        <v>3.4</v>
      </c>
      <c r="K19" s="120">
        <v>288</v>
      </c>
      <c r="L19" s="115"/>
      <c r="M19" s="38">
        <v>1</v>
      </c>
      <c r="N19" s="38">
        <v>288</v>
      </c>
      <c r="O19" s="38" t="s">
        <v>137</v>
      </c>
      <c r="P19" s="38">
        <v>4</v>
      </c>
      <c r="Q19" s="38">
        <v>87.5</v>
      </c>
      <c r="R19" s="38">
        <v>55.3</v>
      </c>
      <c r="S19" s="38">
        <v>127.4</v>
      </c>
      <c r="T19" s="38">
        <v>86.2</v>
      </c>
      <c r="U19" s="38">
        <v>62.2</v>
      </c>
      <c r="V19" s="38">
        <v>110.5</v>
      </c>
      <c r="W19" s="38">
        <v>68.099999999999994</v>
      </c>
      <c r="X19" s="38">
        <v>46.3</v>
      </c>
      <c r="Y19" s="38">
        <v>96.8</v>
      </c>
      <c r="Z19" s="38">
        <v>27.6</v>
      </c>
      <c r="AA19" s="38">
        <v>38.200000000000003</v>
      </c>
      <c r="AB19" s="38">
        <v>5.3</v>
      </c>
      <c r="AC19" s="38">
        <v>14.2</v>
      </c>
      <c r="AD19" s="38">
        <v>0</v>
      </c>
      <c r="AE19" s="38">
        <v>103</v>
      </c>
      <c r="AF19" s="38">
        <v>440.3</v>
      </c>
      <c r="AG19" s="38">
        <v>361.9</v>
      </c>
      <c r="AH19" s="38">
        <v>528.1</v>
      </c>
      <c r="AI19" s="115"/>
      <c r="AJ19" s="106">
        <v>25000</v>
      </c>
      <c r="AK19" s="48">
        <v>45000</v>
      </c>
      <c r="AL19" s="107">
        <v>70000</v>
      </c>
      <c r="AM19" s="40" t="s">
        <v>41</v>
      </c>
    </row>
    <row r="20" spans="1:39" x14ac:dyDescent="0.3">
      <c r="A20" s="67" t="s">
        <v>26</v>
      </c>
      <c r="B20" s="104" t="s">
        <v>82</v>
      </c>
      <c r="C20" s="88" t="s">
        <v>84</v>
      </c>
      <c r="D20" s="38"/>
      <c r="E20" s="38" t="s">
        <v>120</v>
      </c>
      <c r="F20" s="38">
        <f>400</f>
        <v>400</v>
      </c>
      <c r="G20" s="23" t="s">
        <v>26</v>
      </c>
      <c r="H20" s="23" t="s">
        <v>18</v>
      </c>
      <c r="I20" s="23">
        <v>192</v>
      </c>
      <c r="J20" s="38">
        <v>3.2</v>
      </c>
      <c r="K20" s="120">
        <v>384</v>
      </c>
      <c r="L20" s="115"/>
      <c r="M20" s="38">
        <v>1</v>
      </c>
      <c r="N20" s="38">
        <v>384</v>
      </c>
      <c r="O20" s="38" t="s">
        <v>137</v>
      </c>
      <c r="P20" s="38">
        <v>4</v>
      </c>
      <c r="Q20" s="38">
        <v>49.4</v>
      </c>
      <c r="R20" s="38">
        <v>29.2</v>
      </c>
      <c r="S20" s="38">
        <v>77.2</v>
      </c>
      <c r="T20" s="38">
        <v>115.3</v>
      </c>
      <c r="U20" s="38">
        <v>83.6</v>
      </c>
      <c r="V20" s="38">
        <v>146.69999999999999</v>
      </c>
      <c r="W20" s="38">
        <v>68.099999999999994</v>
      </c>
      <c r="X20" s="38">
        <v>46.3</v>
      </c>
      <c r="Y20" s="38">
        <v>96.9</v>
      </c>
      <c r="Z20" s="38">
        <v>27.6</v>
      </c>
      <c r="AA20" s="38">
        <v>38</v>
      </c>
      <c r="AB20" s="38">
        <v>5.3</v>
      </c>
      <c r="AC20" s="38">
        <v>14.3</v>
      </c>
      <c r="AD20" s="38">
        <v>0</v>
      </c>
      <c r="AE20" s="38">
        <v>102.5</v>
      </c>
      <c r="AF20" s="38">
        <v>430.1</v>
      </c>
      <c r="AG20" s="38">
        <v>353</v>
      </c>
      <c r="AH20" s="38">
        <v>518.5</v>
      </c>
      <c r="AI20" s="115"/>
      <c r="AJ20" s="106">
        <v>20000</v>
      </c>
      <c r="AK20" s="48">
        <v>35000</v>
      </c>
      <c r="AL20" s="107">
        <v>50000</v>
      </c>
      <c r="AM20" s="67" t="s">
        <v>82</v>
      </c>
    </row>
    <row r="21" spans="1:39" ht="15" thickBot="1" x14ac:dyDescent="0.35">
      <c r="A21" s="35" t="s">
        <v>46</v>
      </c>
      <c r="B21" s="105" t="s">
        <v>38</v>
      </c>
      <c r="C21" s="89" t="s">
        <v>29</v>
      </c>
      <c r="D21" s="7" t="s">
        <v>125</v>
      </c>
      <c r="E21" s="7" t="s">
        <v>122</v>
      </c>
      <c r="F21" s="7">
        <f>2*210</f>
        <v>420</v>
      </c>
      <c r="G21" s="7" t="s">
        <v>26</v>
      </c>
      <c r="H21" s="7" t="s">
        <v>31</v>
      </c>
      <c r="I21" s="7">
        <v>160</v>
      </c>
      <c r="J21" s="7">
        <v>3</v>
      </c>
      <c r="K21" s="121">
        <v>320</v>
      </c>
      <c r="L21" s="115"/>
      <c r="M21" s="7">
        <v>2</v>
      </c>
      <c r="N21" s="7">
        <v>320</v>
      </c>
      <c r="O21" s="7" t="s">
        <v>137</v>
      </c>
      <c r="P21" s="7">
        <v>4</v>
      </c>
      <c r="Q21" s="7">
        <v>102.1</v>
      </c>
      <c r="R21" s="7">
        <v>71.2</v>
      </c>
      <c r="S21" s="7">
        <v>136.69999999999999</v>
      </c>
      <c r="T21" s="7">
        <v>95.9</v>
      </c>
      <c r="U21" s="7">
        <v>69.599999999999994</v>
      </c>
      <c r="V21" s="7">
        <v>122.4</v>
      </c>
      <c r="W21" s="7">
        <v>67.8</v>
      </c>
      <c r="X21" s="7">
        <v>46.6</v>
      </c>
      <c r="Y21" s="7">
        <v>96.2</v>
      </c>
      <c r="Z21" s="7">
        <v>27.7</v>
      </c>
      <c r="AA21" s="7">
        <v>38</v>
      </c>
      <c r="AB21" s="7">
        <v>5.3</v>
      </c>
      <c r="AC21" s="7">
        <v>14.1</v>
      </c>
      <c r="AD21" s="7">
        <v>0</v>
      </c>
      <c r="AE21" s="7">
        <v>102.8</v>
      </c>
      <c r="AF21" s="7">
        <v>463.2</v>
      </c>
      <c r="AG21" s="7">
        <v>384.7</v>
      </c>
      <c r="AH21" s="7">
        <v>550.29999999999995</v>
      </c>
      <c r="AI21" s="115"/>
      <c r="AJ21" s="108">
        <v>18000</v>
      </c>
      <c r="AK21" s="52">
        <v>32000</v>
      </c>
      <c r="AL21" s="109">
        <v>50000</v>
      </c>
      <c r="AM21" s="35" t="s">
        <v>38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C1ABC-A055-49EC-956C-98F9FA765523}">
  <dimension ref="A1:O21"/>
  <sheetViews>
    <sheetView workbookViewId="0"/>
  </sheetViews>
  <sheetFormatPr defaultRowHeight="14.4" x14ac:dyDescent="0.3"/>
  <cols>
    <col min="1" max="1" width="8.44140625" customWidth="1"/>
    <col min="2" max="2" width="12.44140625" customWidth="1"/>
    <col min="3" max="3" width="56" customWidth="1"/>
    <col min="4" max="4" width="17" customWidth="1"/>
    <col min="5" max="5" width="11" customWidth="1"/>
    <col min="6" max="6" width="8" customWidth="1"/>
    <col min="7" max="7" width="4.44140625" customWidth="1"/>
    <col min="11" max="11" width="7.88671875" customWidth="1"/>
    <col min="12" max="12" width="8.77734375" customWidth="1"/>
    <col min="13" max="13" width="8.6640625" customWidth="1"/>
    <col min="14" max="14" width="10" customWidth="1"/>
    <col min="15" max="15" width="12.6640625" customWidth="1"/>
  </cols>
  <sheetData>
    <row r="1" spans="1:15" ht="15" thickBot="1" x14ac:dyDescent="0.35"/>
    <row r="2" spans="1:15" ht="15" thickBot="1" x14ac:dyDescent="0.35">
      <c r="A2" s="1" t="s">
        <v>61</v>
      </c>
      <c r="B2" s="13" t="s">
        <v>132</v>
      </c>
      <c r="C2" s="14" t="s">
        <v>131</v>
      </c>
      <c r="D2" s="14" t="s">
        <v>124</v>
      </c>
      <c r="E2" s="14" t="s">
        <v>117</v>
      </c>
      <c r="F2" s="14" t="s">
        <v>99</v>
      </c>
      <c r="G2" s="14" t="s">
        <v>13</v>
      </c>
      <c r="H2" s="14" t="s">
        <v>0</v>
      </c>
      <c r="I2" s="15" t="s">
        <v>145</v>
      </c>
      <c r="J2" s="15" t="s">
        <v>136</v>
      </c>
      <c r="K2" s="14" t="s">
        <v>17</v>
      </c>
      <c r="L2" s="15" t="s">
        <v>143</v>
      </c>
      <c r="M2" s="116" t="s">
        <v>116</v>
      </c>
      <c r="N2" s="116" t="s">
        <v>144</v>
      </c>
      <c r="O2" s="1" t="s">
        <v>40</v>
      </c>
    </row>
    <row r="3" spans="1:15" x14ac:dyDescent="0.3">
      <c r="A3" s="44" t="s">
        <v>95</v>
      </c>
      <c r="B3" s="90" t="s">
        <v>98</v>
      </c>
      <c r="C3" s="47" t="s">
        <v>97</v>
      </c>
      <c r="D3" s="47" t="s">
        <v>127</v>
      </c>
      <c r="E3" s="47" t="s">
        <v>118</v>
      </c>
      <c r="F3" s="47">
        <f>2*85</f>
        <v>170</v>
      </c>
      <c r="G3" s="4" t="s">
        <v>13</v>
      </c>
      <c r="H3" s="4" t="s">
        <v>20</v>
      </c>
      <c r="I3" s="77" t="s">
        <v>137</v>
      </c>
      <c r="J3" s="77">
        <v>2</v>
      </c>
      <c r="K3" s="4">
        <v>32</v>
      </c>
      <c r="L3" s="77">
        <v>2.8</v>
      </c>
      <c r="M3" s="117">
        <f>2*K3</f>
        <v>64</v>
      </c>
      <c r="N3" s="77">
        <v>56</v>
      </c>
      <c r="O3" s="44" t="s">
        <v>98</v>
      </c>
    </row>
    <row r="4" spans="1:15" x14ac:dyDescent="0.3">
      <c r="A4" s="81" t="s">
        <v>44</v>
      </c>
      <c r="B4" s="91" t="s">
        <v>70</v>
      </c>
      <c r="C4" s="76" t="s">
        <v>50</v>
      </c>
      <c r="D4" s="76" t="s">
        <v>127</v>
      </c>
      <c r="E4" s="76" t="s">
        <v>118</v>
      </c>
      <c r="F4" s="76">
        <f>2*85</f>
        <v>170</v>
      </c>
      <c r="G4" s="23" t="s">
        <v>13</v>
      </c>
      <c r="H4" s="23" t="s">
        <v>20</v>
      </c>
      <c r="I4" s="23" t="s">
        <v>137</v>
      </c>
      <c r="J4" s="23">
        <v>2</v>
      </c>
      <c r="K4" s="23">
        <v>40</v>
      </c>
      <c r="L4" s="23">
        <v>2.2000000000000002</v>
      </c>
      <c r="M4" s="118">
        <f>2*K4</f>
        <v>80</v>
      </c>
      <c r="N4" s="23">
        <v>66.400000000000006</v>
      </c>
      <c r="O4" s="81" t="s">
        <v>70</v>
      </c>
    </row>
    <row r="5" spans="1:15" x14ac:dyDescent="0.3">
      <c r="A5" s="30" t="s">
        <v>53</v>
      </c>
      <c r="B5" s="92" t="s">
        <v>34</v>
      </c>
      <c r="C5" s="76" t="s">
        <v>72</v>
      </c>
      <c r="D5" s="23" t="s">
        <v>129</v>
      </c>
      <c r="E5" s="23" t="s">
        <v>121</v>
      </c>
      <c r="F5" s="23">
        <f>225</f>
        <v>225</v>
      </c>
      <c r="G5" s="23" t="s">
        <v>13</v>
      </c>
      <c r="H5" s="23" t="s">
        <v>19</v>
      </c>
      <c r="I5" s="23" t="s">
        <v>137</v>
      </c>
      <c r="J5" s="23">
        <v>4</v>
      </c>
      <c r="K5" s="23">
        <v>96</v>
      </c>
      <c r="L5" s="23">
        <v>2.2999999999999998</v>
      </c>
      <c r="M5" s="118">
        <f>2*K5</f>
        <v>192</v>
      </c>
      <c r="N5" s="23">
        <v>155.9</v>
      </c>
      <c r="O5" s="30" t="s">
        <v>34</v>
      </c>
    </row>
    <row r="6" spans="1:15" x14ac:dyDescent="0.3">
      <c r="A6" s="65" t="s">
        <v>71</v>
      </c>
      <c r="B6" s="93" t="s">
        <v>90</v>
      </c>
      <c r="C6" s="76" t="s">
        <v>74</v>
      </c>
      <c r="D6" s="23" t="s">
        <v>130</v>
      </c>
      <c r="E6" s="23" t="s">
        <v>119</v>
      </c>
      <c r="F6" s="23">
        <f>2*200</f>
        <v>400</v>
      </c>
      <c r="G6" s="23" t="s">
        <v>13</v>
      </c>
      <c r="H6" s="23" t="s">
        <v>20</v>
      </c>
      <c r="I6" s="23" t="s">
        <v>141</v>
      </c>
      <c r="J6" s="23">
        <v>8</v>
      </c>
      <c r="K6" s="23">
        <v>96</v>
      </c>
      <c r="L6" s="23">
        <v>4</v>
      </c>
      <c r="M6" s="118">
        <f t="shared" ref="M6:M21" si="0">2*K6</f>
        <v>192</v>
      </c>
      <c r="N6" s="23">
        <v>162.9</v>
      </c>
      <c r="O6" s="65" t="s">
        <v>90</v>
      </c>
    </row>
    <row r="7" spans="1:15" x14ac:dyDescent="0.3">
      <c r="A7" s="43" t="s">
        <v>62</v>
      </c>
      <c r="B7" s="94" t="s">
        <v>69</v>
      </c>
      <c r="C7" s="76" t="s">
        <v>47</v>
      </c>
      <c r="D7" s="23" t="s">
        <v>126</v>
      </c>
      <c r="E7" s="23" t="s">
        <v>119</v>
      </c>
      <c r="F7" s="23">
        <f>2*155</f>
        <v>310</v>
      </c>
      <c r="G7" s="23" t="s">
        <v>13</v>
      </c>
      <c r="H7" s="23" t="s">
        <v>20</v>
      </c>
      <c r="I7" s="41" t="s">
        <v>137</v>
      </c>
      <c r="J7" s="41">
        <v>4</v>
      </c>
      <c r="K7" s="23">
        <v>128</v>
      </c>
      <c r="L7" s="41">
        <v>3.3</v>
      </c>
      <c r="M7" s="119">
        <f t="shared" si="0"/>
        <v>256</v>
      </c>
      <c r="N7" s="41">
        <v>218.1</v>
      </c>
      <c r="O7" s="43" t="s">
        <v>69</v>
      </c>
    </row>
    <row r="8" spans="1:15" x14ac:dyDescent="0.3">
      <c r="A8" s="31" t="s">
        <v>45</v>
      </c>
      <c r="B8" s="95" t="s">
        <v>37</v>
      </c>
      <c r="C8" s="76" t="s">
        <v>27</v>
      </c>
      <c r="D8" s="23" t="s">
        <v>126</v>
      </c>
      <c r="E8" s="23" t="s">
        <v>119</v>
      </c>
      <c r="F8" s="23">
        <f>2*200</f>
        <v>400</v>
      </c>
      <c r="G8" s="23" t="s">
        <v>13</v>
      </c>
      <c r="H8" s="23" t="s">
        <v>20</v>
      </c>
      <c r="I8" s="25" t="s">
        <v>137</v>
      </c>
      <c r="J8" s="25">
        <v>4</v>
      </c>
      <c r="K8" s="23">
        <v>128</v>
      </c>
      <c r="L8" s="25">
        <v>2.6</v>
      </c>
      <c r="M8" s="118">
        <f t="shared" si="0"/>
        <v>256</v>
      </c>
      <c r="N8" s="25">
        <v>223.1</v>
      </c>
      <c r="O8" s="31" t="s">
        <v>37</v>
      </c>
    </row>
    <row r="9" spans="1:15" x14ac:dyDescent="0.3">
      <c r="A9" s="32" t="s">
        <v>26</v>
      </c>
      <c r="B9" s="96" t="s">
        <v>39</v>
      </c>
      <c r="C9" s="76" t="s">
        <v>32</v>
      </c>
      <c r="D9" s="23"/>
      <c r="E9" s="23" t="s">
        <v>120</v>
      </c>
      <c r="F9" s="23">
        <f>2*360</f>
        <v>720</v>
      </c>
      <c r="G9" s="23" t="s">
        <v>13</v>
      </c>
      <c r="H9" s="23" t="s">
        <v>20</v>
      </c>
      <c r="I9" s="25" t="s">
        <v>137</v>
      </c>
      <c r="J9" s="25">
        <v>8</v>
      </c>
      <c r="K9" s="23">
        <v>512</v>
      </c>
      <c r="L9" s="25">
        <v>3.1</v>
      </c>
      <c r="M9" s="118">
        <f t="shared" si="0"/>
        <v>1024</v>
      </c>
      <c r="N9" s="25">
        <v>934.5</v>
      </c>
      <c r="O9" s="32" t="s">
        <v>39</v>
      </c>
    </row>
    <row r="10" spans="1:15" x14ac:dyDescent="0.3">
      <c r="A10" s="66" t="s">
        <v>26</v>
      </c>
      <c r="B10" s="97" t="s">
        <v>80</v>
      </c>
      <c r="C10" s="76" t="s">
        <v>79</v>
      </c>
      <c r="D10" s="23"/>
      <c r="E10" s="23" t="s">
        <v>120</v>
      </c>
      <c r="F10" s="23">
        <f>2*340</f>
        <v>680</v>
      </c>
      <c r="G10" s="23" t="s">
        <v>13</v>
      </c>
      <c r="H10" s="23" t="s">
        <v>20</v>
      </c>
      <c r="I10" s="23" t="s">
        <v>137</v>
      </c>
      <c r="J10" s="23">
        <v>8</v>
      </c>
      <c r="K10" s="23">
        <v>384</v>
      </c>
      <c r="L10" s="23">
        <v>3.7</v>
      </c>
      <c r="M10" s="118">
        <f t="shared" si="0"/>
        <v>768</v>
      </c>
      <c r="N10" s="23">
        <v>705.7</v>
      </c>
      <c r="O10" s="66" t="s">
        <v>80</v>
      </c>
    </row>
    <row r="11" spans="1:15" x14ac:dyDescent="0.3">
      <c r="A11" s="68" t="s">
        <v>26</v>
      </c>
      <c r="B11" s="98" t="s">
        <v>85</v>
      </c>
      <c r="C11" s="76" t="s">
        <v>86</v>
      </c>
      <c r="D11" s="23"/>
      <c r="E11" s="23"/>
      <c r="F11" s="23">
        <f>2*500</f>
        <v>1000</v>
      </c>
      <c r="G11" s="23" t="s">
        <v>13</v>
      </c>
      <c r="H11" s="23" t="s">
        <v>20</v>
      </c>
      <c r="I11" s="23" t="s">
        <v>137</v>
      </c>
      <c r="J11" s="23">
        <v>8</v>
      </c>
      <c r="K11" s="23">
        <v>512</v>
      </c>
      <c r="L11" s="23">
        <v>4.2</v>
      </c>
      <c r="M11" s="118">
        <f t="shared" si="0"/>
        <v>1024</v>
      </c>
      <c r="N11" s="23">
        <v>889.5</v>
      </c>
      <c r="O11" s="68" t="s">
        <v>85</v>
      </c>
    </row>
    <row r="12" spans="1:15" x14ac:dyDescent="0.3">
      <c r="A12" s="33" t="s">
        <v>26</v>
      </c>
      <c r="B12" s="99" t="s">
        <v>35</v>
      </c>
      <c r="C12" s="76" t="s">
        <v>73</v>
      </c>
      <c r="D12" s="23"/>
      <c r="E12" s="23" t="s">
        <v>120</v>
      </c>
      <c r="F12" s="23">
        <f>200</f>
        <v>200</v>
      </c>
      <c r="G12" s="23" t="s">
        <v>13</v>
      </c>
      <c r="H12" s="23" t="s">
        <v>19</v>
      </c>
      <c r="I12" s="25" t="s">
        <v>137</v>
      </c>
      <c r="J12" s="25">
        <v>4</v>
      </c>
      <c r="K12" s="23">
        <v>128</v>
      </c>
      <c r="L12" s="25">
        <v>3.1</v>
      </c>
      <c r="M12" s="118">
        <f t="shared" si="0"/>
        <v>256</v>
      </c>
      <c r="N12" s="25">
        <v>206.8</v>
      </c>
      <c r="O12" s="33" t="s">
        <v>35</v>
      </c>
    </row>
    <row r="13" spans="1:15" x14ac:dyDescent="0.3">
      <c r="A13" s="86" t="s">
        <v>26</v>
      </c>
      <c r="B13" s="100" t="s">
        <v>111</v>
      </c>
      <c r="C13" s="76" t="s">
        <v>108</v>
      </c>
      <c r="D13" s="23"/>
      <c r="E13" s="23"/>
      <c r="F13" s="23">
        <f>2*400</f>
        <v>800</v>
      </c>
      <c r="G13" s="23" t="s">
        <v>13</v>
      </c>
      <c r="H13" s="23" t="s">
        <v>20</v>
      </c>
      <c r="I13" s="25" t="s">
        <v>137</v>
      </c>
      <c r="J13" s="25">
        <v>10</v>
      </c>
      <c r="K13" s="23">
        <v>512</v>
      </c>
      <c r="L13" s="25">
        <v>3.7</v>
      </c>
      <c r="M13" s="118">
        <f t="shared" si="0"/>
        <v>1024</v>
      </c>
      <c r="N13" s="25"/>
      <c r="O13" s="86" t="s">
        <v>114</v>
      </c>
    </row>
    <row r="14" spans="1:15" x14ac:dyDescent="0.3">
      <c r="A14" s="86" t="s">
        <v>26</v>
      </c>
      <c r="B14" s="100" t="s">
        <v>112</v>
      </c>
      <c r="C14" s="76" t="s">
        <v>109</v>
      </c>
      <c r="D14" s="23"/>
      <c r="E14" s="23"/>
      <c r="F14" s="23">
        <f>2*390</f>
        <v>780</v>
      </c>
      <c r="G14" s="23" t="s">
        <v>13</v>
      </c>
      <c r="H14" s="23" t="s">
        <v>20</v>
      </c>
      <c r="I14" s="25" t="s">
        <v>137</v>
      </c>
      <c r="J14" s="25">
        <v>10</v>
      </c>
      <c r="K14" s="23">
        <v>640</v>
      </c>
      <c r="L14" s="25">
        <v>3.7</v>
      </c>
      <c r="M14" s="118">
        <f t="shared" si="0"/>
        <v>1280</v>
      </c>
      <c r="N14" s="25"/>
      <c r="O14" s="86" t="s">
        <v>114</v>
      </c>
    </row>
    <row r="15" spans="1:15" x14ac:dyDescent="0.3">
      <c r="A15" s="86" t="s">
        <v>26</v>
      </c>
      <c r="B15" s="100" t="s">
        <v>113</v>
      </c>
      <c r="C15" s="76" t="s">
        <v>110</v>
      </c>
      <c r="D15" s="23"/>
      <c r="E15" s="23"/>
      <c r="F15" s="23">
        <f>2*500</f>
        <v>1000</v>
      </c>
      <c r="G15" s="23" t="s">
        <v>13</v>
      </c>
      <c r="H15" s="23" t="s">
        <v>20</v>
      </c>
      <c r="I15" s="25" t="s">
        <v>137</v>
      </c>
      <c r="J15" s="25">
        <v>10</v>
      </c>
      <c r="K15" s="23">
        <v>768</v>
      </c>
      <c r="L15" s="25">
        <v>3.35</v>
      </c>
      <c r="M15" s="118">
        <f t="shared" si="0"/>
        <v>1536</v>
      </c>
      <c r="N15" s="25"/>
      <c r="O15" s="86" t="s">
        <v>114</v>
      </c>
    </row>
    <row r="16" spans="1:15" x14ac:dyDescent="0.3">
      <c r="A16" s="34" t="s">
        <v>54</v>
      </c>
      <c r="B16" s="101" t="s">
        <v>36</v>
      </c>
      <c r="C16" s="76" t="s">
        <v>25</v>
      </c>
      <c r="D16" s="23" t="s">
        <v>129</v>
      </c>
      <c r="E16" s="23" t="s">
        <v>121</v>
      </c>
      <c r="F16" s="23">
        <f>210</f>
        <v>210</v>
      </c>
      <c r="G16" s="23" t="s">
        <v>26</v>
      </c>
      <c r="H16" s="23" t="s">
        <v>18</v>
      </c>
      <c r="I16" s="23" t="s">
        <v>137</v>
      </c>
      <c r="J16" s="23">
        <v>4</v>
      </c>
      <c r="K16" s="23">
        <v>80</v>
      </c>
      <c r="L16" s="23">
        <v>3</v>
      </c>
      <c r="M16" s="118">
        <f t="shared" si="0"/>
        <v>160</v>
      </c>
      <c r="N16" s="23">
        <v>213.1</v>
      </c>
      <c r="O16" s="34" t="s">
        <v>36</v>
      </c>
    </row>
    <row r="17" spans="1:15" x14ac:dyDescent="0.3">
      <c r="A17" s="36" t="s">
        <v>26</v>
      </c>
      <c r="B17" s="102" t="s">
        <v>67</v>
      </c>
      <c r="C17" s="76" t="s">
        <v>64</v>
      </c>
      <c r="D17" s="23"/>
      <c r="E17" s="23" t="s">
        <v>123</v>
      </c>
      <c r="F17" s="23">
        <f>230</f>
        <v>230</v>
      </c>
      <c r="G17" s="23" t="s">
        <v>26</v>
      </c>
      <c r="H17" s="23" t="s">
        <v>18</v>
      </c>
      <c r="I17" s="23" t="s">
        <v>137</v>
      </c>
      <c r="J17" s="23">
        <v>4</v>
      </c>
      <c r="K17" s="23">
        <v>128</v>
      </c>
      <c r="L17" s="23">
        <v>2.8</v>
      </c>
      <c r="M17" s="118">
        <f t="shared" si="0"/>
        <v>256</v>
      </c>
      <c r="N17" s="23">
        <v>434.4</v>
      </c>
      <c r="O17" s="36" t="s">
        <v>67</v>
      </c>
    </row>
    <row r="18" spans="1:15" x14ac:dyDescent="0.3">
      <c r="A18" s="36" t="s">
        <v>68</v>
      </c>
      <c r="B18" s="102" t="s">
        <v>66</v>
      </c>
      <c r="C18" s="76" t="s">
        <v>65</v>
      </c>
      <c r="D18" s="23" t="s">
        <v>128</v>
      </c>
      <c r="E18" s="23" t="s">
        <v>123</v>
      </c>
      <c r="F18" s="23">
        <f>250</f>
        <v>250</v>
      </c>
      <c r="G18" s="23" t="s">
        <v>26</v>
      </c>
      <c r="H18" s="23" t="s">
        <v>18</v>
      </c>
      <c r="I18" s="23" t="s">
        <v>137</v>
      </c>
      <c r="J18" s="23">
        <v>4</v>
      </c>
      <c r="K18" s="23">
        <v>128</v>
      </c>
      <c r="L18" s="23">
        <v>3</v>
      </c>
      <c r="M18" s="118">
        <f t="shared" si="0"/>
        <v>256</v>
      </c>
      <c r="N18" s="23">
        <v>406.7</v>
      </c>
      <c r="O18" s="36" t="s">
        <v>66</v>
      </c>
    </row>
    <row r="19" spans="1:15" x14ac:dyDescent="0.3">
      <c r="A19" s="40" t="s">
        <v>63</v>
      </c>
      <c r="B19" s="103" t="s">
        <v>41</v>
      </c>
      <c r="C19" s="88" t="s">
        <v>43</v>
      </c>
      <c r="D19" s="38"/>
      <c r="E19" s="38" t="s">
        <v>120</v>
      </c>
      <c r="F19" s="38">
        <f>500</f>
        <v>500</v>
      </c>
      <c r="G19" s="23" t="s">
        <v>26</v>
      </c>
      <c r="H19" s="23" t="s">
        <v>31</v>
      </c>
      <c r="I19" s="38" t="s">
        <v>137</v>
      </c>
      <c r="J19" s="38">
        <v>4</v>
      </c>
      <c r="K19" s="38">
        <v>144</v>
      </c>
      <c r="L19" s="38">
        <v>3.4</v>
      </c>
      <c r="M19" s="120">
        <f t="shared" si="0"/>
        <v>288</v>
      </c>
      <c r="N19" s="38">
        <v>283.89999999999998</v>
      </c>
      <c r="O19" s="40" t="s">
        <v>41</v>
      </c>
    </row>
    <row r="20" spans="1:15" x14ac:dyDescent="0.3">
      <c r="A20" s="67" t="s">
        <v>26</v>
      </c>
      <c r="B20" s="104" t="s">
        <v>82</v>
      </c>
      <c r="C20" s="88" t="s">
        <v>84</v>
      </c>
      <c r="D20" s="38"/>
      <c r="E20" s="38" t="s">
        <v>120</v>
      </c>
      <c r="F20" s="38">
        <f>400</f>
        <v>400</v>
      </c>
      <c r="G20" s="23" t="s">
        <v>26</v>
      </c>
      <c r="H20" s="23" t="s">
        <v>18</v>
      </c>
      <c r="I20" s="38" t="s">
        <v>137</v>
      </c>
      <c r="J20" s="38">
        <v>4</v>
      </c>
      <c r="K20" s="23">
        <v>192</v>
      </c>
      <c r="L20" s="38">
        <v>3.2</v>
      </c>
      <c r="M20" s="120">
        <f t="shared" si="0"/>
        <v>384</v>
      </c>
      <c r="N20" s="38">
        <v>512.20000000000005</v>
      </c>
      <c r="O20" s="67" t="s">
        <v>82</v>
      </c>
    </row>
    <row r="21" spans="1:15" ht="15" thickBot="1" x14ac:dyDescent="0.35">
      <c r="A21" s="35" t="s">
        <v>46</v>
      </c>
      <c r="B21" s="105" t="s">
        <v>38</v>
      </c>
      <c r="C21" s="89" t="s">
        <v>29</v>
      </c>
      <c r="D21" s="7" t="s">
        <v>125</v>
      </c>
      <c r="E21" s="7" t="s">
        <v>142</v>
      </c>
      <c r="F21" s="7">
        <f>2*210</f>
        <v>420</v>
      </c>
      <c r="G21" s="7" t="s">
        <v>26</v>
      </c>
      <c r="H21" s="7" t="s">
        <v>31</v>
      </c>
      <c r="I21" s="7" t="s">
        <v>137</v>
      </c>
      <c r="J21" s="7">
        <v>4</v>
      </c>
      <c r="K21" s="7">
        <v>160</v>
      </c>
      <c r="L21" s="7">
        <v>3</v>
      </c>
      <c r="M21" s="121">
        <f t="shared" si="0"/>
        <v>320</v>
      </c>
      <c r="N21" s="7">
        <v>344.4</v>
      </c>
      <c r="O21" s="35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HS23_Watt</vt:lpstr>
      <vt:lpstr>CO2e_updated</vt:lpstr>
      <vt:lpstr>hardware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Emanuele</dc:creator>
  <cp:lastModifiedBy>Emanuele</cp:lastModifiedBy>
  <dcterms:created xsi:type="dcterms:W3CDTF">2023-02-27T12:19:54Z</dcterms:created>
  <dcterms:modified xsi:type="dcterms:W3CDTF">2025-10-03T10:32:42Z</dcterms:modified>
</cp:coreProperties>
</file>