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Projects\WS\BUDGET\"/>
    </mc:Choice>
  </mc:AlternateContent>
  <bookViews>
    <workbookView xWindow="0" yWindow="0" windowWidth="27600" windowHeight="113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C21" i="1"/>
  <c r="G21" i="1" s="1"/>
  <c r="B21" i="1"/>
  <c r="G20" i="1"/>
  <c r="E20" i="1" s="1"/>
  <c r="B27" i="1"/>
  <c r="H21" i="1" l="1"/>
  <c r="I21" i="1" s="1"/>
  <c r="C20" i="1"/>
  <c r="B20" i="1"/>
  <c r="D20" i="1"/>
  <c r="H19" i="1"/>
  <c r="G19" i="1"/>
  <c r="F10" i="1"/>
  <c r="D10" i="1"/>
  <c r="C10" i="1"/>
  <c r="B10" i="1"/>
  <c r="G7" i="1"/>
  <c r="G9" i="1"/>
  <c r="G8" i="1"/>
  <c r="G15" i="1"/>
  <c r="G14" i="1"/>
  <c r="G13" i="1"/>
  <c r="G12" i="1"/>
  <c r="G11" i="1"/>
  <c r="G4" i="1"/>
  <c r="G3" i="1"/>
  <c r="H2" i="1"/>
  <c r="G2" i="1"/>
  <c r="F8" i="1" l="1"/>
  <c r="C8" i="1"/>
  <c r="D8" i="1"/>
  <c r="B8" i="1"/>
  <c r="C9" i="1"/>
  <c r="D9" i="1"/>
  <c r="B9" i="1"/>
  <c r="F9" i="1"/>
  <c r="H20" i="1"/>
  <c r="I20" i="1" s="1"/>
  <c r="F11" i="1"/>
  <c r="C6" i="1"/>
  <c r="B17" i="1"/>
  <c r="E18" i="1"/>
  <c r="C17" i="1"/>
  <c r="F18" i="1"/>
  <c r="D17" i="1"/>
  <c r="F16" i="1"/>
  <c r="E17" i="1"/>
  <c r="E16" i="1"/>
  <c r="F17" i="1"/>
  <c r="D16" i="1"/>
  <c r="B18" i="1"/>
  <c r="C16" i="1"/>
  <c r="C18" i="1"/>
  <c r="B16" i="1"/>
  <c r="D18" i="1"/>
  <c r="E3" i="1"/>
  <c r="F4" i="1"/>
  <c r="B14" i="1"/>
  <c r="B15" i="1"/>
  <c r="D6" i="1"/>
  <c r="B11" i="1"/>
  <c r="E6" i="1"/>
  <c r="F14" i="1"/>
  <c r="I2" i="1"/>
  <c r="D4" i="1"/>
  <c r="B13" i="1"/>
  <c r="F5" i="1"/>
  <c r="C7" i="1"/>
  <c r="C4" i="1"/>
  <c r="E5" i="1"/>
  <c r="B3" i="1"/>
  <c r="F12" i="1"/>
  <c r="D5" i="1"/>
  <c r="F6" i="1"/>
  <c r="B12" i="1"/>
  <c r="E4" i="1"/>
  <c r="D14" i="1"/>
  <c r="E14" i="1"/>
  <c r="C11" i="1"/>
  <c r="D13" i="1"/>
  <c r="F3" i="1"/>
  <c r="D11" i="1"/>
  <c r="E13" i="1"/>
  <c r="C5" i="1"/>
  <c r="H10" i="1"/>
  <c r="I19" i="1"/>
  <c r="C13" i="1"/>
  <c r="E11" i="1"/>
  <c r="F13" i="1"/>
  <c r="C15" i="1"/>
  <c r="D7" i="1"/>
  <c r="G10" i="1"/>
  <c r="G23" i="1" s="1"/>
  <c r="C12" i="1"/>
  <c r="E15" i="1"/>
  <c r="E7" i="1"/>
  <c r="B7" i="1"/>
  <c r="D15" i="1"/>
  <c r="C3" i="1"/>
  <c r="D12" i="1"/>
  <c r="D3" i="1"/>
  <c r="B4" i="1"/>
  <c r="E12" i="1"/>
  <c r="C14" i="1"/>
  <c r="F15" i="1"/>
  <c r="B6" i="1"/>
  <c r="F7" i="1"/>
  <c r="B5" i="1"/>
  <c r="B23" i="1" l="1"/>
  <c r="D23" i="1"/>
  <c r="C23" i="1"/>
  <c r="F23" i="1"/>
  <c r="E23" i="1"/>
  <c r="I10" i="1"/>
  <c r="H13" i="1"/>
  <c r="I13" i="1" s="1"/>
  <c r="H11" i="1"/>
  <c r="I11" i="1" s="1"/>
  <c r="H14" i="1"/>
  <c r="I14" i="1" s="1"/>
  <c r="H15" i="1"/>
  <c r="I15" i="1" s="1"/>
  <c r="H16" i="1"/>
  <c r="I16" i="1" s="1"/>
  <c r="H18" i="1"/>
  <c r="I18" i="1" s="1"/>
  <c r="H4" i="1"/>
  <c r="I4" i="1" s="1"/>
  <c r="H6" i="1"/>
  <c r="I6" i="1" s="1"/>
  <c r="H9" i="1"/>
  <c r="I9" i="1" s="1"/>
  <c r="H12" i="1"/>
  <c r="I12" i="1" s="1"/>
  <c r="H5" i="1"/>
  <c r="I5" i="1" s="1"/>
  <c r="H3" i="1"/>
  <c r="H8" i="1"/>
  <c r="I8" i="1" s="1"/>
  <c r="H7" i="1"/>
  <c r="I7" i="1" s="1"/>
  <c r="H17" i="1"/>
  <c r="I17" i="1" s="1"/>
  <c r="B25" i="1" l="1"/>
  <c r="B29" i="1" s="1"/>
  <c r="I3" i="1"/>
</calcChain>
</file>

<file path=xl/sharedStrings.xml><?xml version="1.0" encoding="utf-8"?>
<sst xmlns="http://schemas.openxmlformats.org/spreadsheetml/2006/main" count="52" uniqueCount="49">
  <si>
    <t>PSB</t>
  </si>
  <si>
    <t>PS</t>
  </si>
  <si>
    <t>SPS</t>
  </si>
  <si>
    <t>LHC</t>
  </si>
  <si>
    <t>ESS</t>
  </si>
  <si>
    <t>sum</t>
  </si>
  <si>
    <t>BWSMCU - EDA-03096-V4-0 - PCB*</t>
  </si>
  <si>
    <t>PCB- V4 - 10pcs - 7935340</t>
  </si>
  <si>
    <t>BWSMCU - EDA-03096-V4-0 - ASSEMBLY*</t>
  </si>
  <si>
    <t>PCB-EDA-03519-V2</t>
  </si>
  <si>
    <t>assembly</t>
  </si>
  <si>
    <t>BWSMCU - connectors</t>
  </si>
  <si>
    <t>EDH simulation - to order</t>
  </si>
  <si>
    <t>BWSMCU - Passive Component Fiber Tray BFCT</t>
  </si>
  <si>
    <t>Thorlabs website</t>
  </si>
  <si>
    <t>BWSMCU - FC/PC to FC/PC Dual  ADAFCB2</t>
  </si>
  <si>
    <t>BWSMCU - Custom mechanics MME subcontract</t>
  </si>
  <si>
    <t>BWSMCU - circulators 256CHF/pcs</t>
  </si>
  <si>
    <t>LHC is without IOPS</t>
  </si>
  <si>
    <t>BWSIDC - Missing componants - AC/DC - Connectors</t>
  </si>
  <si>
    <t>BWSIDC - Custom mechanics MME subcontract</t>
  </si>
  <si>
    <t>Tunnel patchcord EN/EA 19-2-02</t>
  </si>
  <si>
    <t>From CET: balance including pipeline for all 6 BCs</t>
  </si>
  <si>
    <t>TOTAL CtC Control electronics</t>
  </si>
  <si>
    <t>Ratio (units + full spares + board spares + prod loss)</t>
  </si>
  <si>
    <t>BWSMCU cabling harness  EN/EA 19-2-03*</t>
  </si>
  <si>
    <t>BWSIDC - EDA-03519-V2-0 - PCB*</t>
  </si>
  <si>
    <t>BWSIDC - EDA-03519-V2-0 - ASSEMBLY*</t>
  </si>
  <si>
    <t>BWSIDC - EDA-03592-V4-0 - MISSING COMP*</t>
  </si>
  <si>
    <t>BWSIDC - EDA-03592-V4-0 - PCB*</t>
  </si>
  <si>
    <t>BWSIDC - EDA-03592-V4-0 - ASSEMBLY*</t>
  </si>
  <si>
    <t>LIU codes only for the control</t>
  </si>
  <si>
    <t>LIU acquisition ADC boards (~3kCHF/pcs) 17+4 =21pcs</t>
  </si>
  <si>
    <t>Check -ok?</t>
  </si>
  <si>
    <t>TOT</t>
  </si>
  <si>
    <t>BWS ELECTRONICS</t>
  </si>
  <si>
    <t>Total CtC for the wire-scanner electronics</t>
  </si>
  <si>
    <t>ACQ -&gt; patch panels and adapters CK50 -&gt; SMA</t>
  </si>
  <si>
    <t>Estimation data</t>
  </si>
  <si>
    <t>real cost conn + estimation panels</t>
  </si>
  <si>
    <t>Based on experience and previous verison</t>
  </si>
  <si>
    <t>today componant cost</t>
  </si>
  <si>
    <t>Estimation EN/EA +/-20%</t>
  </si>
  <si>
    <t>rough estimate</t>
  </si>
  <si>
    <t>Real cost - EN/MME quote</t>
  </si>
  <si>
    <t>Based on previous assembly</t>
  </si>
  <si>
    <t>missing est. - guess</t>
  </si>
  <si>
    <t>BWSIDC cabling harness  EN/EA 19-2-01*</t>
  </si>
  <si>
    <t>ACQ -&gt; Design/prod protection ADC + split for OP + box)*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</si>
</sst>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CHF]\ #,##0.00"/>
    <numFmt numFmtId="165" formatCode="[$CHF]\ #,##0"/>
  </numFmts>
  <fonts count="12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6"/>
      <color rgb="FFFA7D00"/>
      <name val="Calibri"/>
      <family val="2"/>
      <scheme val="minor"/>
    </font>
    <font>
      <sz val="15"/>
      <color rgb="FFFA7D0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rgb="FF0070C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0C0C0"/>
        <bgColor indexed="64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1" fillId="2" borderId="1" applyNumberFormat="0" applyAlignment="0" applyProtection="0"/>
    <xf numFmtId="0" fontId="2" fillId="3" borderId="1" applyNumberFormat="0" applyAlignment="0" applyProtection="0"/>
    <xf numFmtId="0" fontId="3" fillId="0" borderId="2" applyNumberFormat="0" applyFill="0" applyAlignment="0" applyProtection="0"/>
    <xf numFmtId="0" fontId="5" fillId="0" borderId="0" applyNumberFormat="0" applyFill="0" applyBorder="0" applyAlignment="0" applyProtection="0"/>
  </cellStyleXfs>
  <cellXfs count="24">
    <xf numFmtId="0" fontId="0" fillId="0" borderId="0" xfId="0"/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1" fontId="0" fillId="0" borderId="3" xfId="0" applyNumberFormat="1" applyBorder="1" applyAlignment="1">
      <alignment horizontal="center" vertical="center"/>
    </xf>
    <xf numFmtId="1" fontId="2" fillId="3" borderId="3" xfId="2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164" fontId="4" fillId="0" borderId="4" xfId="0" applyNumberFormat="1" applyFont="1" applyBorder="1" applyAlignment="1">
      <alignment horizontal="center" vertical="center"/>
    </xf>
    <xf numFmtId="164" fontId="0" fillId="0" borderId="4" xfId="0" applyNumberFormat="1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5" fillId="0" borderId="0" xfId="4" applyAlignment="1">
      <alignment horizontal="left" vertical="center"/>
    </xf>
    <xf numFmtId="0" fontId="5" fillId="0" borderId="0" xfId="4" applyAlignment="1">
      <alignment horizontal="left"/>
    </xf>
    <xf numFmtId="0" fontId="6" fillId="0" borderId="0" xfId="0" applyFont="1"/>
    <xf numFmtId="0" fontId="3" fillId="0" borderId="2" xfId="3"/>
    <xf numFmtId="0" fontId="8" fillId="0" borderId="2" xfId="3" applyFont="1"/>
    <xf numFmtId="1" fontId="1" fillId="2" borderId="3" xfId="1" applyNumberFormat="1" applyBorder="1" applyAlignment="1">
      <alignment horizontal="center" vertical="center"/>
    </xf>
    <xf numFmtId="165" fontId="7" fillId="4" borderId="5" xfId="0" applyNumberFormat="1" applyFont="1" applyFill="1" applyBorder="1" applyAlignment="1">
      <alignment horizontal="right" wrapText="1"/>
    </xf>
    <xf numFmtId="165" fontId="9" fillId="0" borderId="2" xfId="3" applyNumberFormat="1" applyFont="1"/>
    <xf numFmtId="165" fontId="10" fillId="0" borderId="0" xfId="0" applyNumberFormat="1" applyFont="1"/>
    <xf numFmtId="1" fontId="1" fillId="2" borderId="6" xfId="1" applyNumberFormat="1" applyBorder="1" applyAlignment="1">
      <alignment horizontal="center" vertical="center"/>
    </xf>
    <xf numFmtId="1" fontId="2" fillId="3" borderId="6" xfId="2" applyNumberFormat="1" applyBorder="1" applyAlignment="1">
      <alignment horizontal="center" vertical="center"/>
    </xf>
    <xf numFmtId="0" fontId="11" fillId="0" borderId="0" xfId="0" applyFont="1"/>
  </cellXfs>
  <cellStyles count="5">
    <cellStyle name="Calculation" xfId="2" builtinId="22"/>
    <cellStyle name="Hyperlink" xfId="4" builtinId="8"/>
    <cellStyle name="Input" xfId="1" builtinId="20"/>
    <cellStyle name="Linked Cell" xfId="3" builtinId="2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edh.cern.ch/Document/SupplyChain/MAG/7951825" TargetMode="External"/><Relationship Id="rId3" Type="http://schemas.openxmlformats.org/officeDocument/2006/relationships/hyperlink" Target="https://edh.cern.ch/Document/SupplyChain/DAI/7935340" TargetMode="External"/><Relationship Id="rId7" Type="http://schemas.openxmlformats.org/officeDocument/2006/relationships/hyperlink" Target="https://edh.cern.ch/Document/General/JOB/7880793" TargetMode="External"/><Relationship Id="rId2" Type="http://schemas.openxmlformats.org/officeDocument/2006/relationships/hyperlink" Target="https://edh.cern.ch/Document/SupplyChain/DAI/7954413" TargetMode="External"/><Relationship Id="rId1" Type="http://schemas.openxmlformats.org/officeDocument/2006/relationships/hyperlink" Target="https://edh.cern.ch/Document/General/JOB/7880793" TargetMode="External"/><Relationship Id="rId6" Type="http://schemas.openxmlformats.org/officeDocument/2006/relationships/hyperlink" Target="https://edh.cern.ch/Document/General/JOB/7568559" TargetMode="External"/><Relationship Id="rId5" Type="http://schemas.openxmlformats.org/officeDocument/2006/relationships/hyperlink" Target="https://edh.cern.ch/Document/SupplyChain/DAI/7501868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edh.cern.ch/Document/SupplyChain/DAI/7470652" TargetMode="External"/><Relationship Id="rId9" Type="http://schemas.openxmlformats.org/officeDocument/2006/relationships/hyperlink" Target="https://edh.cern.ch/Document/SupplyChain/MAG/79517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tabSelected="1" zoomScale="120" zoomScaleNormal="120" workbookViewId="0">
      <selection activeCell="A18" sqref="A18"/>
    </sheetView>
  </sheetViews>
  <sheetFormatPr defaultRowHeight="15" x14ac:dyDescent="0.25"/>
  <cols>
    <col min="1" max="1" width="52.85546875" bestFit="1" customWidth="1"/>
    <col min="2" max="2" width="22" bestFit="1" customWidth="1"/>
    <col min="3" max="3" width="16.140625" customWidth="1"/>
    <col min="4" max="4" width="15.140625" customWidth="1"/>
    <col min="5" max="5" width="15.42578125" customWidth="1"/>
    <col min="6" max="6" width="13.85546875" customWidth="1"/>
    <col min="7" max="7" width="19.5703125" customWidth="1"/>
    <col min="9" max="9" width="10.5703125" bestFit="1" customWidth="1"/>
    <col min="10" max="10" width="39.28515625" style="3" bestFit="1" customWidth="1"/>
    <col min="11" max="11" width="21.140625" bestFit="1" customWidth="1"/>
  </cols>
  <sheetData>
    <row r="1" spans="1:10" x14ac:dyDescent="0.25">
      <c r="A1" s="1" t="s">
        <v>35</v>
      </c>
      <c r="B1" s="7" t="s">
        <v>0</v>
      </c>
      <c r="C1" s="7" t="s">
        <v>1</v>
      </c>
      <c r="D1" s="7" t="s">
        <v>2</v>
      </c>
      <c r="E1" s="7" t="s">
        <v>3</v>
      </c>
      <c r="F1" s="7" t="s">
        <v>4</v>
      </c>
      <c r="G1" s="7" t="s">
        <v>34</v>
      </c>
      <c r="H1" s="7" t="s">
        <v>5</v>
      </c>
      <c r="I1" s="7" t="s">
        <v>33</v>
      </c>
      <c r="J1" s="1" t="s">
        <v>38</v>
      </c>
    </row>
    <row r="2" spans="1:10" x14ac:dyDescent="0.25">
      <c r="A2" s="3" t="s">
        <v>24</v>
      </c>
      <c r="B2" s="4">
        <v>11</v>
      </c>
      <c r="C2" s="4">
        <v>8</v>
      </c>
      <c r="D2" s="4">
        <v>7</v>
      </c>
      <c r="E2" s="4">
        <v>10</v>
      </c>
      <c r="F2" s="4">
        <v>10</v>
      </c>
      <c r="G2" s="4">
        <f>SUM(B2:F2)</f>
        <v>46</v>
      </c>
      <c r="H2" s="5">
        <f t="shared" ref="H2:H10" si="0">SUM(B2:F2)</f>
        <v>46</v>
      </c>
      <c r="I2" s="5">
        <f>IF(G2=H2,1,0)</f>
        <v>1</v>
      </c>
      <c r="J2" s="6"/>
    </row>
    <row r="3" spans="1:10" x14ac:dyDescent="0.25">
      <c r="A3" s="3" t="s">
        <v>6</v>
      </c>
      <c r="B3" s="5">
        <f t="shared" ref="B3:F7" si="1">$G3/$G$2*B$2</f>
        <v>2253.5652173913045</v>
      </c>
      <c r="C3" s="5">
        <f t="shared" si="1"/>
        <v>1638.9565217391305</v>
      </c>
      <c r="D3" s="5">
        <f t="shared" si="1"/>
        <v>1434.0869565217392</v>
      </c>
      <c r="E3" s="5">
        <f t="shared" si="1"/>
        <v>2048.695652173913</v>
      </c>
      <c r="F3" s="5">
        <f t="shared" si="1"/>
        <v>2048.695652173913</v>
      </c>
      <c r="G3" s="17">
        <f>2356/10*40</f>
        <v>9424</v>
      </c>
      <c r="H3" s="5">
        <f t="shared" si="0"/>
        <v>9424</v>
      </c>
      <c r="I3" s="5">
        <f t="shared" ref="I3:I15" si="2">IF(G3=H3,1,0)</f>
        <v>1</v>
      </c>
      <c r="J3" s="13" t="s">
        <v>7</v>
      </c>
    </row>
    <row r="4" spans="1:10" x14ac:dyDescent="0.25">
      <c r="A4" s="3" t="s">
        <v>8</v>
      </c>
      <c r="B4" s="5">
        <f t="shared" si="1"/>
        <v>3586.9565217391305</v>
      </c>
      <c r="C4" s="5">
        <f t="shared" si="1"/>
        <v>2608.695652173913</v>
      </c>
      <c r="D4" s="5">
        <f t="shared" si="1"/>
        <v>2282.608695652174</v>
      </c>
      <c r="E4" s="5">
        <f t="shared" si="1"/>
        <v>3260.869565217391</v>
      </c>
      <c r="F4" s="5">
        <f t="shared" si="1"/>
        <v>3260.869565217391</v>
      </c>
      <c r="G4" s="17">
        <f>300*50</f>
        <v>15000</v>
      </c>
      <c r="H4" s="5">
        <f t="shared" si="0"/>
        <v>15000</v>
      </c>
      <c r="I4" s="5">
        <f t="shared" si="2"/>
        <v>1</v>
      </c>
      <c r="J4" s="6" t="s">
        <v>40</v>
      </c>
    </row>
    <row r="5" spans="1:10" x14ac:dyDescent="0.25">
      <c r="A5" s="6" t="s">
        <v>11</v>
      </c>
      <c r="B5" s="5">
        <f t="shared" si="1"/>
        <v>2087.608695652174</v>
      </c>
      <c r="C5" s="5">
        <f t="shared" si="1"/>
        <v>1518.2608695652175</v>
      </c>
      <c r="D5" s="5">
        <f t="shared" si="1"/>
        <v>1328.4782608695652</v>
      </c>
      <c r="E5" s="5">
        <f t="shared" si="1"/>
        <v>1897.826086956522</v>
      </c>
      <c r="F5" s="5">
        <f t="shared" si="1"/>
        <v>1897.826086956522</v>
      </c>
      <c r="G5" s="17">
        <v>8730</v>
      </c>
      <c r="H5" s="5">
        <f t="shared" si="0"/>
        <v>8730</v>
      </c>
      <c r="I5" s="5">
        <f t="shared" ref="I5:I10" si="3">IF(G5=H5,1,0)</f>
        <v>1</v>
      </c>
      <c r="J5" s="12" t="s">
        <v>12</v>
      </c>
    </row>
    <row r="6" spans="1:10" x14ac:dyDescent="0.25">
      <c r="A6" s="6" t="s">
        <v>16</v>
      </c>
      <c r="B6" s="5">
        <f t="shared" si="1"/>
        <v>583.47826086956525</v>
      </c>
      <c r="C6" s="5">
        <f t="shared" si="1"/>
        <v>424.3478260869565</v>
      </c>
      <c r="D6" s="5">
        <f t="shared" si="1"/>
        <v>371.30434782608694</v>
      </c>
      <c r="E6" s="5">
        <f t="shared" si="1"/>
        <v>530.43478260869563</v>
      </c>
      <c r="F6" s="5">
        <f t="shared" si="1"/>
        <v>530.43478260869563</v>
      </c>
      <c r="G6" s="17">
        <v>2440</v>
      </c>
      <c r="H6" s="5">
        <f t="shared" si="0"/>
        <v>2440</v>
      </c>
      <c r="I6" s="5">
        <f t="shared" si="3"/>
        <v>1</v>
      </c>
      <c r="J6" s="6" t="s">
        <v>44</v>
      </c>
    </row>
    <row r="7" spans="1:10" x14ac:dyDescent="0.25">
      <c r="A7" s="6" t="s">
        <v>25</v>
      </c>
      <c r="B7" s="5">
        <f t="shared" si="1"/>
        <v>2391.304347826087</v>
      </c>
      <c r="C7" s="5">
        <f t="shared" si="1"/>
        <v>1739.1304347826087</v>
      </c>
      <c r="D7" s="5">
        <f t="shared" si="1"/>
        <v>1521.7391304347827</v>
      </c>
      <c r="E7" s="5">
        <f t="shared" si="1"/>
        <v>2173.913043478261</v>
      </c>
      <c r="F7" s="5">
        <f t="shared" si="1"/>
        <v>2173.913043478261</v>
      </c>
      <c r="G7" s="17">
        <f>200*50</f>
        <v>10000</v>
      </c>
      <c r="H7" s="5">
        <f t="shared" si="0"/>
        <v>10000</v>
      </c>
      <c r="I7" s="5">
        <f t="shared" si="3"/>
        <v>1</v>
      </c>
      <c r="J7" s="6" t="s">
        <v>46</v>
      </c>
    </row>
    <row r="8" spans="1:10" x14ac:dyDescent="0.25">
      <c r="A8" s="3" t="s">
        <v>13</v>
      </c>
      <c r="B8" s="5">
        <f>$G8/($G$2-10)*B$2</f>
        <v>620.46111111111111</v>
      </c>
      <c r="C8" s="5">
        <f t="shared" ref="C8:F9" si="4">$G8/($G$2-10)*C$2</f>
        <v>451.24444444444447</v>
      </c>
      <c r="D8" s="5">
        <f t="shared" si="4"/>
        <v>394.8388888888889</v>
      </c>
      <c r="E8" s="5">
        <v>0</v>
      </c>
      <c r="F8" s="5">
        <f t="shared" si="4"/>
        <v>564.05555555555554</v>
      </c>
      <c r="G8" s="17">
        <f>1846*1.1</f>
        <v>2030.6000000000001</v>
      </c>
      <c r="H8" s="5">
        <f t="shared" si="0"/>
        <v>2030.6</v>
      </c>
      <c r="I8" s="5">
        <f t="shared" si="3"/>
        <v>1</v>
      </c>
      <c r="J8" s="6" t="s">
        <v>14</v>
      </c>
    </row>
    <row r="9" spans="1:10" x14ac:dyDescent="0.25">
      <c r="A9" s="3" t="s">
        <v>15</v>
      </c>
      <c r="B9" s="5">
        <f>$G9/($G$2-10)*B$2</f>
        <v>828.85000000000014</v>
      </c>
      <c r="C9" s="5">
        <f t="shared" si="4"/>
        <v>602.80000000000007</v>
      </c>
      <c r="D9" s="5">
        <f t="shared" si="4"/>
        <v>527.45000000000005</v>
      </c>
      <c r="E9" s="5">
        <v>0</v>
      </c>
      <c r="F9" s="5">
        <f t="shared" si="4"/>
        <v>753.50000000000011</v>
      </c>
      <c r="G9" s="17">
        <f>2466*1.1</f>
        <v>2712.6000000000004</v>
      </c>
      <c r="H9" s="5">
        <f t="shared" si="0"/>
        <v>2712.6000000000004</v>
      </c>
      <c r="I9" s="5">
        <f t="shared" si="3"/>
        <v>1</v>
      </c>
      <c r="J9" s="6" t="s">
        <v>14</v>
      </c>
    </row>
    <row r="10" spans="1:10" x14ac:dyDescent="0.25">
      <c r="A10" s="3" t="s">
        <v>17</v>
      </c>
      <c r="B10" s="17">
        <f>256*10*2</f>
        <v>5120</v>
      </c>
      <c r="C10" s="17">
        <f>256*7*2</f>
        <v>3584</v>
      </c>
      <c r="D10" s="17">
        <f>256*6*2</f>
        <v>3072</v>
      </c>
      <c r="E10" s="17">
        <v>0</v>
      </c>
      <c r="F10" s="17">
        <f>256*10*2</f>
        <v>5120</v>
      </c>
      <c r="G10" s="5">
        <f>SUM(B10:F10)</f>
        <v>16896</v>
      </c>
      <c r="H10" s="5">
        <f t="shared" si="0"/>
        <v>16896</v>
      </c>
      <c r="I10" s="5">
        <f t="shared" si="3"/>
        <v>1</v>
      </c>
      <c r="J10" s="6" t="s">
        <v>18</v>
      </c>
    </row>
    <row r="11" spans="1:10" x14ac:dyDescent="0.25">
      <c r="A11" s="3" t="s">
        <v>26</v>
      </c>
      <c r="B11" s="5">
        <f t="shared" ref="B11:F17" si="5">$G11/$G$2*B$2</f>
        <v>1440.1630434782608</v>
      </c>
      <c r="C11" s="5">
        <f t="shared" si="5"/>
        <v>1047.391304347826</v>
      </c>
      <c r="D11" s="5">
        <f t="shared" si="5"/>
        <v>916.46739130434776</v>
      </c>
      <c r="E11" s="5">
        <f t="shared" si="5"/>
        <v>1309.2391304347825</v>
      </c>
      <c r="F11" s="5">
        <f t="shared" si="5"/>
        <v>1309.2391304347825</v>
      </c>
      <c r="G11" s="17">
        <f>109.5*1.1*50</f>
        <v>6022.5</v>
      </c>
      <c r="H11" s="5">
        <f t="shared" ref="H11:H15" si="6">SUM(B11:F11)</f>
        <v>6022.5</v>
      </c>
      <c r="I11" s="5">
        <f t="shared" si="2"/>
        <v>1</v>
      </c>
      <c r="J11" s="12" t="s">
        <v>9</v>
      </c>
    </row>
    <row r="12" spans="1:10" x14ac:dyDescent="0.25">
      <c r="A12" s="3" t="s">
        <v>27</v>
      </c>
      <c r="B12" s="5">
        <f t="shared" si="5"/>
        <v>3803.3695652173919</v>
      </c>
      <c r="C12" s="5">
        <f t="shared" si="5"/>
        <v>2766.0869565217395</v>
      </c>
      <c r="D12" s="5">
        <f t="shared" si="5"/>
        <v>2420.326086956522</v>
      </c>
      <c r="E12" s="5">
        <f t="shared" si="5"/>
        <v>3457.6086956521744</v>
      </c>
      <c r="F12" s="5">
        <f t="shared" si="5"/>
        <v>3457.6086956521744</v>
      </c>
      <c r="G12" s="17">
        <f>3181/10*50</f>
        <v>15905.000000000002</v>
      </c>
      <c r="H12" s="5">
        <f t="shared" si="6"/>
        <v>15905.000000000002</v>
      </c>
      <c r="I12" s="5">
        <f t="shared" si="2"/>
        <v>1</v>
      </c>
      <c r="J12" s="12" t="s">
        <v>10</v>
      </c>
    </row>
    <row r="13" spans="1:10" x14ac:dyDescent="0.25">
      <c r="A13" s="3" t="s">
        <v>28</v>
      </c>
      <c r="B13" s="5">
        <f t="shared" si="5"/>
        <v>1255.4347826086957</v>
      </c>
      <c r="C13" s="5">
        <f t="shared" si="5"/>
        <v>913.04347826086962</v>
      </c>
      <c r="D13" s="5">
        <f t="shared" si="5"/>
        <v>798.91304347826087</v>
      </c>
      <c r="E13" s="5">
        <f t="shared" si="5"/>
        <v>1141.304347826087</v>
      </c>
      <c r="F13" s="5">
        <f t="shared" si="5"/>
        <v>1141.304347826087</v>
      </c>
      <c r="G13" s="17">
        <f>15*350</f>
        <v>5250</v>
      </c>
      <c r="H13" s="5">
        <f t="shared" si="6"/>
        <v>5250.0000000000009</v>
      </c>
      <c r="I13" s="5">
        <f t="shared" si="2"/>
        <v>1</v>
      </c>
      <c r="J13" s="6" t="s">
        <v>41</v>
      </c>
    </row>
    <row r="14" spans="1:10" x14ac:dyDescent="0.25">
      <c r="A14" s="3" t="s">
        <v>29</v>
      </c>
      <c r="B14" s="5">
        <f t="shared" si="5"/>
        <v>1214.7826086956522</v>
      </c>
      <c r="C14" s="5">
        <f t="shared" si="5"/>
        <v>883.47826086956525</v>
      </c>
      <c r="D14" s="5">
        <f t="shared" si="5"/>
        <v>773.04347826086962</v>
      </c>
      <c r="E14" s="5">
        <f t="shared" si="5"/>
        <v>1104.3478260869565</v>
      </c>
      <c r="F14" s="5">
        <f t="shared" si="5"/>
        <v>1104.3478260869565</v>
      </c>
      <c r="G14" s="17">
        <f>1270/10*40</f>
        <v>5080</v>
      </c>
      <c r="H14" s="5">
        <f t="shared" si="6"/>
        <v>5080</v>
      </c>
      <c r="I14" s="5">
        <f t="shared" si="2"/>
        <v>1</v>
      </c>
      <c r="J14" s="12">
        <v>7954413</v>
      </c>
    </row>
    <row r="15" spans="1:10" x14ac:dyDescent="0.25">
      <c r="A15" s="3" t="s">
        <v>30</v>
      </c>
      <c r="B15" s="5">
        <f t="shared" si="5"/>
        <v>2767.9347826086955</v>
      </c>
      <c r="C15" s="5">
        <f t="shared" si="5"/>
        <v>2013.0434782608695</v>
      </c>
      <c r="D15" s="5">
        <f t="shared" si="5"/>
        <v>1761.4130434782608</v>
      </c>
      <c r="E15" s="5">
        <f t="shared" si="5"/>
        <v>2516.304347826087</v>
      </c>
      <c r="F15" s="5">
        <f t="shared" si="5"/>
        <v>2516.304347826087</v>
      </c>
      <c r="G15" s="17">
        <f>463/2*50</f>
        <v>11575</v>
      </c>
      <c r="H15" s="5">
        <f t="shared" si="6"/>
        <v>11575</v>
      </c>
      <c r="I15" s="5">
        <f t="shared" si="2"/>
        <v>1</v>
      </c>
      <c r="J15" s="12" t="s">
        <v>45</v>
      </c>
    </row>
    <row r="16" spans="1:10" x14ac:dyDescent="0.25">
      <c r="A16" s="6" t="s">
        <v>19</v>
      </c>
      <c r="B16" s="5">
        <f t="shared" si="5"/>
        <v>2751.195652173913</v>
      </c>
      <c r="C16" s="5">
        <f t="shared" si="5"/>
        <v>2000.8695652173913</v>
      </c>
      <c r="D16" s="5">
        <f t="shared" si="5"/>
        <v>1750.7608695652173</v>
      </c>
      <c r="E16" s="5">
        <f t="shared" si="5"/>
        <v>2501.086956521739</v>
      </c>
      <c r="F16" s="5">
        <f t="shared" si="5"/>
        <v>2501.086956521739</v>
      </c>
      <c r="G16" s="17">
        <v>11505</v>
      </c>
      <c r="H16" s="5">
        <f t="shared" ref="H16:H18" si="7">SUM(B16:F16)</f>
        <v>11505</v>
      </c>
      <c r="I16" s="5">
        <f t="shared" ref="I16:I18" si="8">IF(G16=H16,1,0)</f>
        <v>1</v>
      </c>
      <c r="J16" s="12" t="s">
        <v>12</v>
      </c>
    </row>
    <row r="17" spans="1:10" x14ac:dyDescent="0.25">
      <c r="A17" s="6" t="s">
        <v>20</v>
      </c>
      <c r="B17" s="5">
        <f t="shared" si="5"/>
        <v>2630.4347826086955</v>
      </c>
      <c r="C17" s="5">
        <f t="shared" si="5"/>
        <v>1913.0434782608695</v>
      </c>
      <c r="D17" s="5">
        <f t="shared" si="5"/>
        <v>1673.9130434782608</v>
      </c>
      <c r="E17" s="5">
        <f t="shared" si="5"/>
        <v>2391.304347826087</v>
      </c>
      <c r="F17" s="5">
        <f t="shared" si="5"/>
        <v>2391.304347826087</v>
      </c>
      <c r="G17" s="17">
        <v>11000</v>
      </c>
      <c r="H17" s="5">
        <f t="shared" si="7"/>
        <v>11000</v>
      </c>
      <c r="I17" s="5">
        <f t="shared" si="8"/>
        <v>1</v>
      </c>
      <c r="J17" s="6" t="s">
        <v>44</v>
      </c>
    </row>
    <row r="18" spans="1:10" x14ac:dyDescent="0.25">
      <c r="A18" s="6" t="s">
        <v>47</v>
      </c>
      <c r="B18" s="5">
        <f t="shared" ref="B18:F18" si="9">$G18/$G$2*B$2</f>
        <v>2391.304347826087</v>
      </c>
      <c r="C18" s="5">
        <f t="shared" si="9"/>
        <v>1739.1304347826087</v>
      </c>
      <c r="D18" s="5">
        <f t="shared" si="9"/>
        <v>1521.7391304347827</v>
      </c>
      <c r="E18" s="5">
        <f t="shared" si="9"/>
        <v>2173.913043478261</v>
      </c>
      <c r="F18" s="5">
        <f t="shared" si="9"/>
        <v>2173.913043478261</v>
      </c>
      <c r="G18" s="17">
        <v>10000</v>
      </c>
      <c r="H18" s="5">
        <f t="shared" si="7"/>
        <v>10000</v>
      </c>
      <c r="I18" s="5">
        <f t="shared" si="8"/>
        <v>1</v>
      </c>
      <c r="J18" s="6" t="s">
        <v>42</v>
      </c>
    </row>
    <row r="19" spans="1:10" x14ac:dyDescent="0.25">
      <c r="A19" s="6" t="s">
        <v>21</v>
      </c>
      <c r="B19" s="21">
        <v>9833</v>
      </c>
      <c r="C19" s="21">
        <v>6145</v>
      </c>
      <c r="D19" s="21">
        <v>4916</v>
      </c>
      <c r="E19" s="21">
        <v>2458</v>
      </c>
      <c r="F19" s="21">
        <v>0</v>
      </c>
      <c r="G19" s="22">
        <f>SUM(B19:F19)</f>
        <v>23352</v>
      </c>
      <c r="H19" s="22">
        <f t="shared" ref="H19:H20" si="10">SUM(B19:F19)</f>
        <v>23352</v>
      </c>
      <c r="I19" s="22">
        <f>IF(G19=H19,1,0)</f>
        <v>1</v>
      </c>
      <c r="J19" s="12">
        <v>7880793</v>
      </c>
    </row>
    <row r="20" spans="1:10" x14ac:dyDescent="0.25">
      <c r="A20" s="23" t="s">
        <v>48</v>
      </c>
      <c r="B20" s="5">
        <f>$G20/21*9</f>
        <v>6428.5714285714294</v>
      </c>
      <c r="C20" s="5">
        <f>$G20/21*6</f>
        <v>4285.7142857142862</v>
      </c>
      <c r="D20" s="5">
        <f>$G20/21*4</f>
        <v>2857.1428571428573</v>
      </c>
      <c r="E20" s="5">
        <f>$G20/21*2</f>
        <v>1428.5714285714287</v>
      </c>
      <c r="F20" s="5">
        <v>0</v>
      </c>
      <c r="G20" s="17">
        <f>5000+3000+5000+2000</f>
        <v>15000</v>
      </c>
      <c r="H20" s="5">
        <f t="shared" si="10"/>
        <v>15000.000000000002</v>
      </c>
      <c r="I20" s="5">
        <f>IF(G20=H20,1,0)</f>
        <v>1</v>
      </c>
      <c r="J20" t="s">
        <v>43</v>
      </c>
    </row>
    <row r="21" spans="1:10" x14ac:dyDescent="0.25">
      <c r="A21" s="23" t="s">
        <v>37</v>
      </c>
      <c r="B21" s="17">
        <f>30*8*4+500</f>
        <v>1460</v>
      </c>
      <c r="C21" s="17">
        <f>30*5*4+500</f>
        <v>1100</v>
      </c>
      <c r="D21" s="17">
        <f>30*4*4+500</f>
        <v>980</v>
      </c>
      <c r="E21" s="17">
        <v>0</v>
      </c>
      <c r="F21" s="17">
        <v>0</v>
      </c>
      <c r="G21" s="5">
        <f>SUM(B21:F21)</f>
        <v>3540</v>
      </c>
      <c r="H21" s="5">
        <f t="shared" ref="H21" si="11">SUM(B21:F21)</f>
        <v>3540</v>
      </c>
      <c r="I21" s="5">
        <f>IF(G21=H21,1,0)</f>
        <v>1</v>
      </c>
      <c r="J21" t="s">
        <v>39</v>
      </c>
    </row>
    <row r="22" spans="1:10" x14ac:dyDescent="0.25">
      <c r="B22" s="2"/>
      <c r="C22" s="2"/>
      <c r="D22" s="2"/>
      <c r="E22" s="2"/>
      <c r="F22" s="2"/>
      <c r="G22" s="2"/>
      <c r="H22" s="2"/>
      <c r="I22" s="2"/>
      <c r="J22" s="6"/>
    </row>
    <row r="23" spans="1:10" x14ac:dyDescent="0.25">
      <c r="A23" s="8" t="s">
        <v>23</v>
      </c>
      <c r="B23" s="9">
        <f>SUM(B3:B21)</f>
        <v>53448.41514837819</v>
      </c>
      <c r="C23" s="9">
        <f t="shared" ref="C23:G23" si="12">SUM(C3:C21)</f>
        <v>37374.236991028287</v>
      </c>
      <c r="D23" s="9">
        <f t="shared" si="12"/>
        <v>31302.225224292615</v>
      </c>
      <c r="E23" s="9">
        <f t="shared" si="12"/>
        <v>30393.419254658387</v>
      </c>
      <c r="F23" s="9">
        <f t="shared" si="12"/>
        <v>32944.403381642522</v>
      </c>
      <c r="G23" s="9">
        <f t="shared" si="12"/>
        <v>185462.7</v>
      </c>
      <c r="H23" s="10"/>
      <c r="I23" s="11"/>
      <c r="J23" s="6"/>
    </row>
    <row r="25" spans="1:10" ht="21.75" thickBot="1" x14ac:dyDescent="0.4">
      <c r="A25" s="15" t="s">
        <v>31</v>
      </c>
      <c r="B25" s="19">
        <f>SUM(B23:D23)</f>
        <v>122124.8773636991</v>
      </c>
      <c r="C25" s="16"/>
      <c r="D25" s="16"/>
    </row>
    <row r="26" spans="1:10" ht="20.25" thickTop="1" x14ac:dyDescent="0.3">
      <c r="B26" s="20"/>
    </row>
    <row r="27" spans="1:10" ht="19.5" x14ac:dyDescent="0.3">
      <c r="A27" t="s">
        <v>32</v>
      </c>
      <c r="B27" s="20">
        <f>3000*21</f>
        <v>63000</v>
      </c>
    </row>
    <row r="28" spans="1:10" ht="19.5" x14ac:dyDescent="0.3">
      <c r="B28" s="20"/>
    </row>
    <row r="29" spans="1:10" ht="20.25" thickBot="1" x14ac:dyDescent="0.35">
      <c r="A29" s="15" t="s">
        <v>36</v>
      </c>
      <c r="B29" s="19">
        <f>B25+B27</f>
        <v>185124.87736369908</v>
      </c>
    </row>
    <row r="30" spans="1:10" ht="15.75" thickTop="1" x14ac:dyDescent="0.25"/>
    <row r="32" spans="1:10" x14ac:dyDescent="0.25">
      <c r="A32" s="14" t="s">
        <v>22</v>
      </c>
      <c r="B32" s="18">
        <v>164460.85</v>
      </c>
    </row>
  </sheetData>
  <hyperlinks>
    <hyperlink ref="B19" r:id="rId1" display="https://edh.cern.ch/Document/General/JOB/7880793"/>
    <hyperlink ref="J14" r:id="rId2" display="7954413"/>
    <hyperlink ref="J3" r:id="rId3"/>
    <hyperlink ref="J11" r:id="rId4"/>
    <hyperlink ref="J12" r:id="rId5"/>
    <hyperlink ref="J15" r:id="rId6"/>
    <hyperlink ref="J19" r:id="rId7" display="7880793"/>
    <hyperlink ref="J5" r:id="rId8"/>
    <hyperlink ref="J16" r:id="rId9"/>
  </hyperlinks>
  <pageMargins left="0.7" right="0.7" top="0.75" bottom="0.75" header="0.3" footer="0.3"/>
  <pageSetup paperSize="256" orientation="landscape" horizontalDpi="300" r:id="rId10"/>
  <ignoredErrors>
    <ignoredError sqref="B10:F10 G2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Emery</dc:creator>
  <cp:lastModifiedBy>Federico Roncarolo</cp:lastModifiedBy>
  <dcterms:created xsi:type="dcterms:W3CDTF">2019-09-20T08:09:53Z</dcterms:created>
  <dcterms:modified xsi:type="dcterms:W3CDTF">2019-09-20T11:46:25Z</dcterms:modified>
</cp:coreProperties>
</file>